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8.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9.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10.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11.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https://d.docs.live.net/726a05a16b3f1b9a/Brexit New/Online/September Release/"/>
    </mc:Choice>
  </mc:AlternateContent>
  <xr:revisionPtr revIDLastSave="29" documentId="8_{F4EFCBFA-E2F9-4F76-8A06-DA80053D37BC}" xr6:coauthVersionLast="38" xr6:coauthVersionMax="38" xr10:uidLastSave="{3DB6B644-3272-4255-A1BB-1BD939E51453}"/>
  <bookViews>
    <workbookView xWindow="56520" yWindow="0" windowWidth="17832" windowHeight="9660" xr2:uid="{00000000-000D-0000-FFFF-FFFF00000000}"/>
  </bookViews>
  <sheets>
    <sheet name="1. All Trade" sheetId="14" r:id="rId1"/>
    <sheet name="2. Trade in Services" sheetId="40" r:id="rId2"/>
    <sheet name="3. Trade in Goods" sheetId="29" r:id="rId3"/>
    <sheet name="Working Data" sheetId="43" r:id="rId4"/>
    <sheet name="ONS Services Trade Data 2018" sheetId="44" r:id="rId5"/>
    <sheet name="Old_2016 Data Manufacturing" sheetId="41" r:id="rId6"/>
    <sheet name="Old_Core Data_Goods" sheetId="1" r:id="rId7"/>
    <sheet name="Core Data_Services" sheetId="42" r:id="rId8"/>
    <sheet name="Additional Data" sheetId="36" r:id="rId9"/>
    <sheet name="Sheet1" sheetId="45" r:id="rId10"/>
  </sheets>
  <calcPr calcId="17902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3" i="14" l="1"/>
  <c r="C36" i="14" s="1"/>
  <c r="C37" i="14" s="1"/>
  <c r="B33" i="14"/>
  <c r="U186" i="29" l="1"/>
  <c r="U180" i="29"/>
  <c r="F188" i="40" l="1"/>
  <c r="N188" i="40"/>
  <c r="B188" i="40"/>
  <c r="F31" i="44"/>
  <c r="F194" i="40" s="1"/>
  <c r="I7" i="44"/>
  <c r="C30" i="44"/>
  <c r="C193" i="40" s="1"/>
  <c r="M29" i="44"/>
  <c r="M189" i="40" s="1"/>
  <c r="D28" i="44"/>
  <c r="D188" i="40" s="1"/>
  <c r="B28" i="44"/>
  <c r="J7" i="44"/>
  <c r="B31" i="44" s="1"/>
  <c r="B194" i="40" s="1"/>
  <c r="K7" i="44"/>
  <c r="B30" i="44" s="1"/>
  <c r="B193" i="40" s="1"/>
  <c r="I8" i="44"/>
  <c r="C28" i="44" s="1"/>
  <c r="C188" i="40" s="1"/>
  <c r="J8" i="44"/>
  <c r="C31" i="44" s="1"/>
  <c r="C194" i="40" s="1"/>
  <c r="K8" i="44"/>
  <c r="I9" i="44"/>
  <c r="J9" i="44"/>
  <c r="D31" i="44" s="1"/>
  <c r="D194" i="40" s="1"/>
  <c r="K9" i="44"/>
  <c r="D30" i="44" s="1"/>
  <c r="D193" i="40" s="1"/>
  <c r="I10" i="44"/>
  <c r="E28" i="44" s="1"/>
  <c r="E188" i="40" s="1"/>
  <c r="J10" i="44"/>
  <c r="E31" i="44" s="1"/>
  <c r="E194" i="40" s="1"/>
  <c r="K10" i="44"/>
  <c r="E30" i="44" s="1"/>
  <c r="E193" i="40" s="1"/>
  <c r="I11" i="44"/>
  <c r="F28" i="44" s="1"/>
  <c r="J11" i="44"/>
  <c r="K11" i="44"/>
  <c r="F30" i="44" s="1"/>
  <c r="F193" i="40" s="1"/>
  <c r="I12" i="44"/>
  <c r="G28" i="44" s="1"/>
  <c r="G188" i="40" s="1"/>
  <c r="J12" i="44"/>
  <c r="G31" i="44" s="1"/>
  <c r="G194" i="40" s="1"/>
  <c r="K12" i="44"/>
  <c r="G30" i="44" s="1"/>
  <c r="G193" i="40" s="1"/>
  <c r="I13" i="44"/>
  <c r="H28" i="44" s="1"/>
  <c r="H188" i="40" s="1"/>
  <c r="J13" i="44"/>
  <c r="H31" i="44" s="1"/>
  <c r="H194" i="40" s="1"/>
  <c r="K13" i="44"/>
  <c r="H30" i="44" s="1"/>
  <c r="H193" i="40" s="1"/>
  <c r="I14" i="44"/>
  <c r="I28" i="44" s="1"/>
  <c r="I188" i="40" s="1"/>
  <c r="J14" i="44"/>
  <c r="I31" i="44" s="1"/>
  <c r="I194" i="40" s="1"/>
  <c r="K14" i="44"/>
  <c r="I30" i="44" s="1"/>
  <c r="I193" i="40" s="1"/>
  <c r="I15" i="44"/>
  <c r="J28" i="44" s="1"/>
  <c r="J188" i="40" s="1"/>
  <c r="J15" i="44"/>
  <c r="J31" i="44" s="1"/>
  <c r="J194" i="40" s="1"/>
  <c r="K15" i="44"/>
  <c r="J30" i="44" s="1"/>
  <c r="J193" i="40" s="1"/>
  <c r="I16" i="44"/>
  <c r="K28" i="44" s="1"/>
  <c r="K188" i="40" s="1"/>
  <c r="J16" i="44"/>
  <c r="K31" i="44" s="1"/>
  <c r="K194" i="40" s="1"/>
  <c r="K16" i="44"/>
  <c r="K30" i="44" s="1"/>
  <c r="K193" i="40" s="1"/>
  <c r="I17" i="44"/>
  <c r="L28" i="44" s="1"/>
  <c r="L188" i="40" s="1"/>
  <c r="J17" i="44"/>
  <c r="L31" i="44" s="1"/>
  <c r="L194" i="40" s="1"/>
  <c r="K17" i="44"/>
  <c r="L30" i="44" s="1"/>
  <c r="L193" i="40" s="1"/>
  <c r="I18" i="44"/>
  <c r="M28" i="44" s="1"/>
  <c r="M188" i="40" s="1"/>
  <c r="J18" i="44"/>
  <c r="M31" i="44" s="1"/>
  <c r="M194" i="40" s="1"/>
  <c r="K18" i="44"/>
  <c r="M30" i="44" s="1"/>
  <c r="M193" i="40" s="1"/>
  <c r="I19" i="44"/>
  <c r="N28" i="44" s="1"/>
  <c r="J19" i="44"/>
  <c r="N31" i="44" s="1"/>
  <c r="N194" i="40" s="1"/>
  <c r="K19" i="44"/>
  <c r="N30" i="44" s="1"/>
  <c r="N193" i="40" s="1"/>
  <c r="I20" i="44"/>
  <c r="O28" i="44" s="1"/>
  <c r="O188" i="40" s="1"/>
  <c r="J20" i="44"/>
  <c r="O31" i="44" s="1"/>
  <c r="O194" i="40" s="1"/>
  <c r="K20" i="44"/>
  <c r="O30" i="44" s="1"/>
  <c r="O193" i="40" s="1"/>
  <c r="I21" i="44"/>
  <c r="P28" i="44" s="1"/>
  <c r="P188" i="40" s="1"/>
  <c r="J21" i="44"/>
  <c r="P31" i="44" s="1"/>
  <c r="P194" i="40" s="1"/>
  <c r="K21" i="44"/>
  <c r="P30" i="44" s="1"/>
  <c r="P193" i="40" s="1"/>
  <c r="I22" i="44"/>
  <c r="Q28" i="44" s="1"/>
  <c r="Q188" i="40" s="1"/>
  <c r="J22" i="44"/>
  <c r="Q31" i="44" s="1"/>
  <c r="Q194" i="40" s="1"/>
  <c r="K22" i="44"/>
  <c r="Q30" i="44" s="1"/>
  <c r="Q193" i="40" s="1"/>
  <c r="I23" i="44"/>
  <c r="R28" i="44" s="1"/>
  <c r="R188" i="40" s="1"/>
  <c r="J23" i="44"/>
  <c r="R31" i="44" s="1"/>
  <c r="R194" i="40" s="1"/>
  <c r="K23" i="44"/>
  <c r="R30" i="44" s="1"/>
  <c r="R193" i="40" s="1"/>
  <c r="I24" i="44"/>
  <c r="S28" i="44" s="1"/>
  <c r="S188" i="40" s="1"/>
  <c r="J24" i="44"/>
  <c r="S31" i="44" s="1"/>
  <c r="S194" i="40" s="1"/>
  <c r="K24" i="44"/>
  <c r="S30" i="44" s="1"/>
  <c r="S193" i="40" s="1"/>
  <c r="I25" i="44"/>
  <c r="T28" i="44" s="1"/>
  <c r="T188" i="40" s="1"/>
  <c r="J25" i="44"/>
  <c r="T31" i="44" s="1"/>
  <c r="T194" i="40" s="1"/>
  <c r="K25" i="44"/>
  <c r="T30" i="44" s="1"/>
  <c r="T193" i="40" s="1"/>
  <c r="H25" i="44"/>
  <c r="T29" i="44" s="1"/>
  <c r="T189" i="40" s="1"/>
  <c r="H8" i="44"/>
  <c r="C29" i="44" s="1"/>
  <c r="C189" i="40" s="1"/>
  <c r="H9" i="44"/>
  <c r="D29" i="44" s="1"/>
  <c r="D189" i="40" s="1"/>
  <c r="H10" i="44"/>
  <c r="E29" i="44" s="1"/>
  <c r="E189" i="40" s="1"/>
  <c r="H11" i="44"/>
  <c r="F29" i="44" s="1"/>
  <c r="F189" i="40" s="1"/>
  <c r="H12" i="44"/>
  <c r="G29" i="44" s="1"/>
  <c r="G189" i="40" s="1"/>
  <c r="H13" i="44"/>
  <c r="H29" i="44" s="1"/>
  <c r="H189" i="40" s="1"/>
  <c r="H14" i="44"/>
  <c r="I29" i="44" s="1"/>
  <c r="I189" i="40" s="1"/>
  <c r="H15" i="44"/>
  <c r="J29" i="44" s="1"/>
  <c r="J189" i="40" s="1"/>
  <c r="H16" i="44"/>
  <c r="K29" i="44" s="1"/>
  <c r="K189" i="40" s="1"/>
  <c r="H17" i="44"/>
  <c r="L29" i="44" s="1"/>
  <c r="L189" i="40" s="1"/>
  <c r="H18" i="44"/>
  <c r="H19" i="44"/>
  <c r="N29" i="44" s="1"/>
  <c r="N189" i="40" s="1"/>
  <c r="H20" i="44"/>
  <c r="O29" i="44" s="1"/>
  <c r="O189" i="40" s="1"/>
  <c r="H21" i="44"/>
  <c r="P29" i="44" s="1"/>
  <c r="P189" i="40" s="1"/>
  <c r="H22" i="44"/>
  <c r="Q29" i="44" s="1"/>
  <c r="Q189" i="40" s="1"/>
  <c r="H23" i="44"/>
  <c r="R29" i="44" s="1"/>
  <c r="R189" i="40" s="1"/>
  <c r="H24" i="44"/>
  <c r="S29" i="44" s="1"/>
  <c r="S189" i="40" s="1"/>
  <c r="H7" i="44"/>
  <c r="B29" i="44" s="1"/>
  <c r="B189" i="40" s="1"/>
  <c r="F347" i="29" l="1"/>
  <c r="G347" i="29" s="1"/>
  <c r="H347" i="29" s="1"/>
  <c r="I347" i="29" s="1"/>
  <c r="J347" i="29" s="1"/>
  <c r="K347" i="29" s="1"/>
  <c r="L347" i="29" s="1"/>
  <c r="M347" i="29" s="1"/>
  <c r="N347" i="29" s="1"/>
  <c r="O347" i="29" s="1"/>
  <c r="P347" i="29" s="1"/>
  <c r="Q347" i="29" s="1"/>
  <c r="R347" i="29" s="1"/>
  <c r="S347" i="29" s="1"/>
  <c r="T347" i="29" s="1"/>
  <c r="U347" i="29" s="1"/>
  <c r="V347" i="29" s="1"/>
  <c r="W347" i="29" s="1"/>
  <c r="X347" i="29" s="1"/>
  <c r="B221" i="29" l="1"/>
  <c r="B220" i="29"/>
  <c r="B219" i="29"/>
  <c r="B218" i="29"/>
  <c r="C36" i="29"/>
  <c r="B36" i="29"/>
  <c r="C21" i="29"/>
  <c r="C30" i="29" s="1"/>
  <c r="B21" i="29"/>
  <c r="B30" i="29" s="1"/>
  <c r="C23" i="29"/>
  <c r="C24" i="29"/>
  <c r="C25" i="29"/>
  <c r="C26" i="29"/>
  <c r="C27" i="29"/>
  <c r="C22" i="29"/>
  <c r="C7" i="29"/>
  <c r="B216" i="29" l="1"/>
  <c r="B217" i="29"/>
  <c r="S199" i="40"/>
  <c r="S200" i="40" s="1"/>
  <c r="T199" i="40"/>
  <c r="T200" i="40" s="1"/>
  <c r="R199" i="40"/>
  <c r="R200" i="40" s="1"/>
  <c r="T188" i="29"/>
  <c r="T189" i="29" s="1"/>
  <c r="U188" i="29"/>
  <c r="U189" i="29" s="1"/>
  <c r="S188" i="29"/>
  <c r="S189" i="29" s="1"/>
  <c r="W189" i="29" s="1"/>
  <c r="W188" i="29" l="1"/>
  <c r="V200" i="40"/>
  <c r="V199" i="40"/>
  <c r="B36" i="14" s="1"/>
  <c r="B37" i="14" s="1"/>
  <c r="B40" i="40"/>
  <c r="B34" i="40"/>
  <c r="B33" i="40"/>
  <c r="R317" i="29" l="1"/>
  <c r="R322" i="29" s="1"/>
  <c r="S317" i="29"/>
  <c r="S322" i="29" s="1"/>
  <c r="T317" i="29"/>
  <c r="T322" i="29" s="1"/>
  <c r="U317" i="29"/>
  <c r="U322" i="29" s="1"/>
  <c r="V317" i="29"/>
  <c r="V322" i="29" s="1"/>
  <c r="W317" i="29"/>
  <c r="W322" i="29" s="1"/>
  <c r="X317" i="29"/>
  <c r="X322" i="29" s="1"/>
  <c r="O317" i="29"/>
  <c r="O322" i="29" s="1"/>
  <c r="P317" i="29"/>
  <c r="P322" i="29" s="1"/>
  <c r="Q317" i="29"/>
  <c r="Q322" i="29" s="1"/>
  <c r="K317" i="29"/>
  <c r="K322" i="29" s="1"/>
  <c r="J317" i="29"/>
  <c r="J322" i="29" s="1"/>
  <c r="L317" i="29"/>
  <c r="L322" i="29" s="1"/>
  <c r="M317" i="29"/>
  <c r="M322" i="29" s="1"/>
  <c r="N317" i="29"/>
  <c r="N322" i="29" s="1"/>
  <c r="H317" i="29"/>
  <c r="H322" i="29" s="1"/>
  <c r="I317" i="29"/>
  <c r="I322" i="29" s="1"/>
  <c r="G317" i="29"/>
  <c r="G322" i="29" s="1"/>
  <c r="F317" i="29"/>
  <c r="F322" i="29" s="1"/>
  <c r="G314" i="29"/>
  <c r="G321" i="29" s="1"/>
  <c r="H314" i="29"/>
  <c r="H321" i="29" s="1"/>
  <c r="I314" i="29"/>
  <c r="I321" i="29" s="1"/>
  <c r="J314" i="29"/>
  <c r="J321" i="29" s="1"/>
  <c r="K314" i="29"/>
  <c r="K321" i="29" s="1"/>
  <c r="L314" i="29"/>
  <c r="L321" i="29" s="1"/>
  <c r="M314" i="29"/>
  <c r="M321" i="29" s="1"/>
  <c r="N314" i="29"/>
  <c r="N321" i="29" s="1"/>
  <c r="O314" i="29"/>
  <c r="O321" i="29" s="1"/>
  <c r="P314" i="29"/>
  <c r="P321" i="29" s="1"/>
  <c r="Q314" i="29"/>
  <c r="Q321" i="29" s="1"/>
  <c r="R314" i="29"/>
  <c r="R321" i="29" s="1"/>
  <c r="S314" i="29"/>
  <c r="S321" i="29" s="1"/>
  <c r="T314" i="29"/>
  <c r="T321" i="29" s="1"/>
  <c r="U314" i="29"/>
  <c r="U321" i="29" s="1"/>
  <c r="V314" i="29"/>
  <c r="V321" i="29" s="1"/>
  <c r="W314" i="29"/>
  <c r="W321" i="29" s="1"/>
  <c r="X314" i="29"/>
  <c r="X321" i="29" s="1"/>
  <c r="F314" i="29"/>
  <c r="F321" i="29" s="1"/>
  <c r="E314" i="29"/>
  <c r="E321" i="29" s="1"/>
  <c r="G308" i="29"/>
  <c r="H308" i="29"/>
  <c r="I308" i="29"/>
  <c r="J308" i="29"/>
  <c r="K308" i="29"/>
  <c r="L308" i="29"/>
  <c r="M308" i="29"/>
  <c r="N308" i="29"/>
  <c r="O308" i="29"/>
  <c r="P308" i="29"/>
  <c r="F308" i="29"/>
  <c r="E308" i="29"/>
  <c r="Y303" i="29"/>
  <c r="B302" i="29" s="1"/>
  <c r="B309" i="29" l="1"/>
  <c r="E317" i="29" s="1"/>
  <c r="E322" i="29" s="1"/>
  <c r="W326" i="29"/>
  <c r="W325" i="29"/>
  <c r="K270" i="29"/>
  <c r="L270" i="29"/>
  <c r="M270" i="29"/>
  <c r="N270" i="29"/>
  <c r="O270" i="29"/>
  <c r="P270" i="29"/>
  <c r="Q270" i="29"/>
  <c r="R270" i="29"/>
  <c r="S270" i="29"/>
  <c r="T270" i="29"/>
  <c r="U270" i="29"/>
  <c r="V270" i="29"/>
  <c r="W270" i="29"/>
  <c r="X270" i="29"/>
  <c r="Y270" i="29"/>
  <c r="J270" i="29"/>
  <c r="I270" i="29"/>
  <c r="H270" i="29"/>
  <c r="G270" i="29"/>
  <c r="G271" i="29" s="1"/>
  <c r="W327" i="29" l="1"/>
  <c r="W328" i="29" s="1"/>
  <c r="H271" i="29"/>
  <c r="I271" i="29" s="1"/>
  <c r="J271" i="29" s="1"/>
  <c r="K271" i="29" s="1"/>
  <c r="L271" i="29" s="1"/>
  <c r="M271" i="29" s="1"/>
  <c r="N271" i="29" s="1"/>
  <c r="O271" i="29" s="1"/>
  <c r="P271" i="29" s="1"/>
  <c r="Q271" i="29" s="1"/>
  <c r="R271" i="29" s="1"/>
  <c r="S271" i="29" s="1"/>
  <c r="T271" i="29" s="1"/>
  <c r="U271" i="29" s="1"/>
  <c r="V271" i="29" s="1"/>
  <c r="W271" i="29" s="1"/>
  <c r="X271" i="29" s="1"/>
  <c r="Y271" i="29" s="1"/>
  <c r="Y272" i="29" s="1"/>
  <c r="Y273" i="29" l="1"/>
  <c r="Y274" i="29" s="1"/>
  <c r="Y276" i="29" s="1"/>
  <c r="X272" i="29"/>
  <c r="W272" i="29" l="1"/>
  <c r="X273" i="29"/>
  <c r="X274" i="29" s="1"/>
  <c r="X276" i="29" s="1"/>
  <c r="W273" i="29" l="1"/>
  <c r="W274" i="29" s="1"/>
  <c r="W276" i="29" s="1"/>
  <c r="G279" i="29" s="1"/>
  <c r="V272" i="29"/>
  <c r="U272" i="29" l="1"/>
  <c r="V273" i="29"/>
  <c r="V274" i="29" s="1"/>
  <c r="V276" i="29" s="1"/>
  <c r="T272" i="29" l="1"/>
  <c r="U273" i="29"/>
  <c r="U274" i="29" s="1"/>
  <c r="U276" i="29" s="1"/>
  <c r="S272" i="29" l="1"/>
  <c r="T273" i="29"/>
  <c r="T274" i="29" s="1"/>
  <c r="T276" i="29" s="1"/>
  <c r="R272" i="29" l="1"/>
  <c r="S273" i="29"/>
  <c r="S274" i="29" s="1"/>
  <c r="S276" i="29" s="1"/>
  <c r="Q272" i="29" l="1"/>
  <c r="R273" i="29"/>
  <c r="R274" i="29" s="1"/>
  <c r="R276" i="29" s="1"/>
  <c r="Q273" i="29" l="1"/>
  <c r="Q274" i="29" s="1"/>
  <c r="Q276" i="29" s="1"/>
  <c r="P272" i="29"/>
  <c r="O272" i="29" l="1"/>
  <c r="P273" i="29"/>
  <c r="P274" i="29" s="1"/>
  <c r="P276" i="29" s="1"/>
  <c r="N272" i="29" l="1"/>
  <c r="O273" i="29"/>
  <c r="O274" i="29" s="1"/>
  <c r="O276" i="29" s="1"/>
  <c r="M272" i="29" l="1"/>
  <c r="N273" i="29"/>
  <c r="N274" i="29" s="1"/>
  <c r="N276" i="29" s="1"/>
  <c r="L272" i="29" l="1"/>
  <c r="M273" i="29"/>
  <c r="M274" i="29" s="1"/>
  <c r="M276" i="29" s="1"/>
  <c r="K272" i="29" l="1"/>
  <c r="L273" i="29"/>
  <c r="L274" i="29" s="1"/>
  <c r="L276" i="29" s="1"/>
  <c r="J272" i="29" l="1"/>
  <c r="K273" i="29"/>
  <c r="K274" i="29" s="1"/>
  <c r="K276" i="29" s="1"/>
  <c r="I272" i="29" l="1"/>
  <c r="J273" i="29"/>
  <c r="J274" i="29" s="1"/>
  <c r="J276" i="29" s="1"/>
  <c r="H272" i="29" l="1"/>
  <c r="I273" i="29"/>
  <c r="I274" i="29" s="1"/>
  <c r="I276" i="29" s="1"/>
  <c r="G272" i="29" l="1"/>
  <c r="H273" i="29"/>
  <c r="H274" i="29" s="1"/>
  <c r="H276" i="29" s="1"/>
  <c r="F272" i="29" l="1"/>
  <c r="F273" i="29" s="1"/>
  <c r="F274" i="29" s="1"/>
  <c r="F276" i="29" s="1"/>
  <c r="G273" i="29"/>
  <c r="G274" i="29" s="1"/>
  <c r="G276" i="29" s="1"/>
  <c r="E279" i="29" l="1"/>
  <c r="I279" i="29" s="1"/>
  <c r="B260" i="29" s="1"/>
  <c r="J286" i="29"/>
  <c r="J287" i="29"/>
  <c r="J288" i="29"/>
  <c r="V294" i="29" s="1"/>
  <c r="J289" i="29"/>
  <c r="W294" i="29" s="1"/>
  <c r="J290" i="29"/>
  <c r="X294" i="29" s="1"/>
  <c r="J285" i="29"/>
  <c r="G294" i="29" s="1"/>
  <c r="W296" i="29" l="1"/>
  <c r="G298" i="29" s="1"/>
  <c r="E294" i="29"/>
  <c r="F294" i="29"/>
  <c r="Z261" i="29"/>
  <c r="AA261" i="29" s="1"/>
  <c r="B258" i="29" s="1"/>
  <c r="F296" i="29" l="1"/>
  <c r="E298" i="29" s="1"/>
  <c r="I298" i="29" s="1"/>
  <c r="AJ24" i="1" l="1"/>
  <c r="AL25" i="1"/>
  <c r="AL24" i="1"/>
  <c r="AK25" i="1"/>
  <c r="AK24" i="1"/>
  <c r="AJ25" i="1"/>
  <c r="AB22" i="1"/>
  <c r="Y23" i="1"/>
  <c r="X23" i="1"/>
  <c r="V24" i="1"/>
  <c r="AC24" i="1" s="1"/>
  <c r="U24" i="1"/>
  <c r="AB24" i="1" s="1"/>
  <c r="T24" i="1"/>
  <c r="AA24" i="1" s="1"/>
  <c r="AE24" i="1" s="1"/>
  <c r="V23" i="1"/>
  <c r="AC25" i="1" s="1"/>
  <c r="U23" i="1"/>
  <c r="AB25" i="1" s="1"/>
  <c r="T23" i="1"/>
  <c r="X24" i="1" s="1"/>
  <c r="X25" i="1" s="1"/>
  <c r="Y20" i="1"/>
  <c r="V21" i="1"/>
  <c r="U21" i="1"/>
  <c r="AB21" i="1" s="1"/>
  <c r="T21" i="1"/>
  <c r="AA21" i="1" s="1"/>
  <c r="X20" i="1"/>
  <c r="U20" i="1"/>
  <c r="V20" i="1"/>
  <c r="AC22" i="1" s="1"/>
  <c r="T20" i="1"/>
  <c r="AA22" i="1" s="1"/>
  <c r="AE22" i="1" s="1"/>
  <c r="Y21" i="1" l="1"/>
  <c r="Y22" i="1" s="1"/>
  <c r="Y24" i="1"/>
  <c r="Y25" i="1" s="1"/>
  <c r="AA25" i="1"/>
  <c r="AE25" i="1" s="1"/>
  <c r="AC21" i="1"/>
  <c r="AE21" i="1" s="1"/>
  <c r="X21" i="1"/>
  <c r="X22" i="1" s="1"/>
  <c r="U196" i="40"/>
  <c r="D238" i="29" l="1"/>
  <c r="B70" i="14"/>
  <c r="B69" i="14"/>
  <c r="B65" i="14"/>
  <c r="B76" i="14" s="1"/>
  <c r="B59" i="14"/>
  <c r="B75" i="14" s="1"/>
  <c r="C8" i="14" l="1"/>
  <c r="B8" i="14"/>
  <c r="C7" i="14"/>
  <c r="B7" i="14"/>
  <c r="T206" i="40"/>
  <c r="T181" i="40" s="1"/>
  <c r="T204" i="40"/>
  <c r="T177" i="40" s="1"/>
  <c r="T182" i="40" l="1"/>
  <c r="T183" i="40" s="1"/>
  <c r="T176" i="40"/>
  <c r="T178" i="40" s="1"/>
  <c r="U200" i="29"/>
  <c r="U143" i="29" s="1"/>
  <c r="U198" i="29"/>
  <c r="U139" i="29" s="1"/>
  <c r="U185" i="29"/>
  <c r="H7" i="14" s="1"/>
  <c r="U179" i="29"/>
  <c r="G7" i="14" s="1"/>
  <c r="T195" i="40"/>
  <c r="H8" i="14" s="1"/>
  <c r="T190" i="40"/>
  <c r="G8" i="14" s="1"/>
  <c r="G9" i="14" l="1"/>
  <c r="H9" i="14"/>
  <c r="J7" i="14"/>
  <c r="U138" i="29"/>
  <c r="U144" i="29"/>
  <c r="U145" i="29" s="1"/>
  <c r="U116" i="29"/>
  <c r="S211" i="29"/>
  <c r="R211" i="29"/>
  <c r="Q211" i="29"/>
  <c r="P211" i="29"/>
  <c r="O211" i="29"/>
  <c r="N211" i="29"/>
  <c r="M211" i="29"/>
  <c r="L211" i="29"/>
  <c r="K211" i="29"/>
  <c r="J211" i="29"/>
  <c r="I211" i="29"/>
  <c r="H211" i="29"/>
  <c r="G211" i="29"/>
  <c r="F211" i="29"/>
  <c r="E211" i="29"/>
  <c r="D211" i="29"/>
  <c r="C211" i="29"/>
  <c r="B211" i="29"/>
  <c r="S217" i="40"/>
  <c r="R217" i="40"/>
  <c r="Q217" i="40"/>
  <c r="P217" i="40"/>
  <c r="O217" i="40"/>
  <c r="N217" i="40"/>
  <c r="M217" i="40"/>
  <c r="L217" i="40"/>
  <c r="K217" i="40"/>
  <c r="J217" i="40"/>
  <c r="I217" i="40"/>
  <c r="H217" i="40"/>
  <c r="G217" i="40"/>
  <c r="F217" i="40"/>
  <c r="E217" i="40"/>
  <c r="D217" i="40"/>
  <c r="C217" i="40"/>
  <c r="B217" i="40"/>
  <c r="U140" i="29" l="1"/>
  <c r="C343" i="29"/>
  <c r="U115" i="29"/>
  <c r="B246" i="29"/>
  <c r="C245" i="29"/>
  <c r="B245" i="29" s="1"/>
  <c r="D241" i="29"/>
  <c r="B241" i="29" s="1"/>
  <c r="D242" i="29" s="1"/>
  <c r="B232" i="29"/>
  <c r="B228" i="29"/>
  <c r="C220" i="29"/>
  <c r="D220" i="29" s="1"/>
  <c r="C216" i="29"/>
  <c r="D216" i="29" s="1"/>
  <c r="D222" i="29" s="1"/>
  <c r="B233" i="29" l="1"/>
  <c r="C218" i="29"/>
  <c r="D218" i="29" s="1"/>
  <c r="D246" i="29"/>
  <c r="F151" i="41"/>
  <c r="I151" i="41"/>
  <c r="Q151" i="41"/>
  <c r="L152" i="41"/>
  <c r="Q146" i="41"/>
  <c r="T184" i="41"/>
  <c r="S184" i="41"/>
  <c r="R184" i="41"/>
  <c r="Q184" i="41"/>
  <c r="P184" i="41"/>
  <c r="P151" i="41" s="1"/>
  <c r="O184" i="41"/>
  <c r="O146" i="41" s="1"/>
  <c r="N184" i="41"/>
  <c r="N146" i="41" s="1"/>
  <c r="M184" i="41"/>
  <c r="M146" i="41" s="1"/>
  <c r="L184" i="41"/>
  <c r="L151" i="41" s="1"/>
  <c r="K184" i="41"/>
  <c r="K151" i="41" s="1"/>
  <c r="J184" i="41"/>
  <c r="J151" i="41" s="1"/>
  <c r="I184" i="41"/>
  <c r="I146" i="41" s="1"/>
  <c r="H184" i="41"/>
  <c r="H151" i="41" s="1"/>
  <c r="G184" i="41"/>
  <c r="G146" i="41" s="1"/>
  <c r="F184" i="41"/>
  <c r="F146" i="41" s="1"/>
  <c r="E184" i="41"/>
  <c r="E151" i="41" s="1"/>
  <c r="D184" i="41"/>
  <c r="D151" i="41" s="1"/>
  <c r="C184" i="41"/>
  <c r="C146" i="41" s="1"/>
  <c r="B184" i="41"/>
  <c r="B151" i="41" s="1"/>
  <c r="T182" i="41"/>
  <c r="S182" i="41"/>
  <c r="R182" i="41"/>
  <c r="Q182" i="41"/>
  <c r="Q147" i="41" s="1"/>
  <c r="P182" i="41"/>
  <c r="P147" i="41" s="1"/>
  <c r="O182" i="41"/>
  <c r="O147" i="41" s="1"/>
  <c r="N182" i="41"/>
  <c r="N152" i="41" s="1"/>
  <c r="M182" i="41"/>
  <c r="M152" i="41" s="1"/>
  <c r="L182" i="41"/>
  <c r="L147" i="41" s="1"/>
  <c r="K182" i="41"/>
  <c r="K152" i="41" s="1"/>
  <c r="J182" i="41"/>
  <c r="J152" i="41" s="1"/>
  <c r="I182" i="41"/>
  <c r="I147" i="41" s="1"/>
  <c r="H182" i="41"/>
  <c r="H152" i="41" s="1"/>
  <c r="G182" i="41"/>
  <c r="G147" i="41" s="1"/>
  <c r="F182" i="41"/>
  <c r="F152" i="41" s="1"/>
  <c r="E182" i="41"/>
  <c r="E152" i="41" s="1"/>
  <c r="D182" i="41"/>
  <c r="D152" i="41" s="1"/>
  <c r="C182" i="41"/>
  <c r="C152" i="41" s="1"/>
  <c r="B181" i="41"/>
  <c r="B182" i="41" s="1"/>
  <c r="B152" i="41" s="1"/>
  <c r="S206" i="40"/>
  <c r="S181" i="40" s="1"/>
  <c r="R206" i="40"/>
  <c r="R181" i="40" s="1"/>
  <c r="Q206" i="40"/>
  <c r="Q181" i="40" s="1"/>
  <c r="P206" i="40"/>
  <c r="P181" i="40" s="1"/>
  <c r="O206" i="40"/>
  <c r="O176" i="40" s="1"/>
  <c r="N206" i="40"/>
  <c r="N176" i="40" s="1"/>
  <c r="M206" i="40"/>
  <c r="M176" i="40" s="1"/>
  <c r="L206" i="40"/>
  <c r="L181" i="40" s="1"/>
  <c r="K206" i="40"/>
  <c r="K181" i="40" s="1"/>
  <c r="J206" i="40"/>
  <c r="J181" i="40" s="1"/>
  <c r="I206" i="40"/>
  <c r="I181" i="40" s="1"/>
  <c r="H206" i="40"/>
  <c r="H181" i="40" s="1"/>
  <c r="G206" i="40"/>
  <c r="G176" i="40" s="1"/>
  <c r="F206" i="40"/>
  <c r="F176" i="40" s="1"/>
  <c r="E206" i="40"/>
  <c r="E176" i="40" s="1"/>
  <c r="D206" i="40"/>
  <c r="D181" i="40" s="1"/>
  <c r="C206" i="40"/>
  <c r="C176" i="40" s="1"/>
  <c r="B206" i="40"/>
  <c r="B176" i="40" s="1"/>
  <c r="S204" i="40"/>
  <c r="S182" i="40" s="1"/>
  <c r="R204" i="40"/>
  <c r="R182" i="40" s="1"/>
  <c r="Q204" i="40"/>
  <c r="Q182" i="40" s="1"/>
  <c r="P204" i="40"/>
  <c r="P182" i="40" s="1"/>
  <c r="O204" i="40"/>
  <c r="O182" i="40" s="1"/>
  <c r="N204" i="40"/>
  <c r="N177" i="40" s="1"/>
  <c r="M204" i="40"/>
  <c r="M177" i="40" s="1"/>
  <c r="L204" i="40"/>
  <c r="L182" i="40" s="1"/>
  <c r="K204" i="40"/>
  <c r="K182" i="40" s="1"/>
  <c r="J204" i="40"/>
  <c r="J177" i="40" s="1"/>
  <c r="I204" i="40"/>
  <c r="I182" i="40" s="1"/>
  <c r="H204" i="40"/>
  <c r="H182" i="40" s="1"/>
  <c r="G204" i="40"/>
  <c r="G182" i="40" s="1"/>
  <c r="F204" i="40"/>
  <c r="F177" i="40" s="1"/>
  <c r="E204" i="40"/>
  <c r="E177" i="40" s="1"/>
  <c r="D204" i="40"/>
  <c r="D182" i="40" s="1"/>
  <c r="C204" i="40"/>
  <c r="C182" i="40" s="1"/>
  <c r="B204" i="40"/>
  <c r="B182" i="40" s="1"/>
  <c r="H147" i="41" l="1"/>
  <c r="M151" i="41"/>
  <c r="D147" i="41"/>
  <c r="E146" i="41"/>
  <c r="P152" i="41"/>
  <c r="O152" i="41"/>
  <c r="N147" i="41"/>
  <c r="L146" i="41"/>
  <c r="G152" i="41"/>
  <c r="P146" i="41"/>
  <c r="F147" i="41"/>
  <c r="D146" i="41"/>
  <c r="N151" i="41"/>
  <c r="C151" i="41"/>
  <c r="C135" i="40"/>
  <c r="T147" i="41"/>
  <c r="T152" i="41"/>
  <c r="Q152" i="41"/>
  <c r="I152" i="41"/>
  <c r="O151" i="41"/>
  <c r="G151" i="41"/>
  <c r="S176" i="40"/>
  <c r="S146" i="41"/>
  <c r="S151" i="41"/>
  <c r="M147" i="41"/>
  <c r="E147" i="41"/>
  <c r="T151" i="41"/>
  <c r="T146" i="41"/>
  <c r="L176" i="40"/>
  <c r="K146" i="41"/>
  <c r="B181" i="40"/>
  <c r="B146" i="41"/>
  <c r="K147" i="41"/>
  <c r="C147" i="41"/>
  <c r="J146" i="41"/>
  <c r="M182" i="40"/>
  <c r="B147" i="41"/>
  <c r="J147" i="41"/>
  <c r="R146" i="41"/>
  <c r="R151" i="41"/>
  <c r="R147" i="41"/>
  <c r="R152" i="41"/>
  <c r="H146" i="41"/>
  <c r="S147" i="41"/>
  <c r="S152" i="41"/>
  <c r="K177" i="40"/>
  <c r="K176" i="40"/>
  <c r="L177" i="40"/>
  <c r="C136" i="40"/>
  <c r="R176" i="40"/>
  <c r="N181" i="40"/>
  <c r="M181" i="40"/>
  <c r="F181" i="40"/>
  <c r="J176" i="40"/>
  <c r="S177" i="40"/>
  <c r="D176" i="40"/>
  <c r="C177" i="40"/>
  <c r="D177" i="40"/>
  <c r="N182" i="40"/>
  <c r="F182" i="40"/>
  <c r="O181" i="40"/>
  <c r="G181" i="40"/>
  <c r="E182" i="40"/>
  <c r="E181" i="40"/>
  <c r="R177" i="40"/>
  <c r="Q177" i="40"/>
  <c r="I177" i="40"/>
  <c r="Q176" i="40"/>
  <c r="I176" i="40"/>
  <c r="P177" i="40"/>
  <c r="H177" i="40"/>
  <c r="P176" i="40"/>
  <c r="H176" i="40"/>
  <c r="J182" i="40"/>
  <c r="C181" i="40"/>
  <c r="O177" i="40"/>
  <c r="G177" i="40"/>
  <c r="B177" i="40"/>
  <c r="F200" i="29"/>
  <c r="F138" i="29" s="1"/>
  <c r="G200" i="29"/>
  <c r="G143" i="29" s="1"/>
  <c r="H200" i="29"/>
  <c r="H143" i="29" s="1"/>
  <c r="I200" i="29"/>
  <c r="I143" i="29" s="1"/>
  <c r="J200" i="29"/>
  <c r="J143" i="29" s="1"/>
  <c r="K200" i="29"/>
  <c r="K138" i="29" s="1"/>
  <c r="L200" i="29"/>
  <c r="L138" i="29" s="1"/>
  <c r="M200" i="29"/>
  <c r="M138" i="29" s="1"/>
  <c r="N200" i="29"/>
  <c r="N138" i="29" s="1"/>
  <c r="O200" i="29"/>
  <c r="O143" i="29" s="1"/>
  <c r="P200" i="29"/>
  <c r="P143" i="29" s="1"/>
  <c r="Q200" i="29"/>
  <c r="Q143" i="29" s="1"/>
  <c r="R200" i="29"/>
  <c r="R143" i="29" s="1"/>
  <c r="S200" i="29"/>
  <c r="S138" i="29" s="1"/>
  <c r="T200" i="29"/>
  <c r="T138" i="29" s="1"/>
  <c r="D200" i="29"/>
  <c r="D138" i="29" s="1"/>
  <c r="E200" i="29"/>
  <c r="E138" i="29" s="1"/>
  <c r="C200" i="29"/>
  <c r="C138" i="29" s="1"/>
  <c r="B200" i="29"/>
  <c r="B138" i="29" s="1"/>
  <c r="B343" i="29" s="1"/>
  <c r="D343" i="29" s="1"/>
  <c r="F198" i="29"/>
  <c r="F139" i="29" s="1"/>
  <c r="G198" i="29"/>
  <c r="G139" i="29" s="1"/>
  <c r="H198" i="29"/>
  <c r="H139" i="29" s="1"/>
  <c r="I198" i="29"/>
  <c r="I139" i="29" s="1"/>
  <c r="J198" i="29"/>
  <c r="J139" i="29" s="1"/>
  <c r="K198" i="29"/>
  <c r="K144" i="29" s="1"/>
  <c r="L198" i="29"/>
  <c r="L144" i="29" s="1"/>
  <c r="M198" i="29"/>
  <c r="M139" i="29" s="1"/>
  <c r="N198" i="29"/>
  <c r="N139" i="29" s="1"/>
  <c r="O198" i="29"/>
  <c r="O139" i="29" s="1"/>
  <c r="P198" i="29"/>
  <c r="P139" i="29" s="1"/>
  <c r="Q198" i="29"/>
  <c r="Q139" i="29" s="1"/>
  <c r="R198" i="29"/>
  <c r="R139" i="29" s="1"/>
  <c r="S198" i="29"/>
  <c r="S144" i="29" s="1"/>
  <c r="T198" i="29"/>
  <c r="T144" i="29" s="1"/>
  <c r="D198" i="29"/>
  <c r="D144" i="29" s="1"/>
  <c r="E198" i="29"/>
  <c r="E139" i="29" s="1"/>
  <c r="C198" i="29"/>
  <c r="C139" i="29" s="1"/>
  <c r="B197" i="29"/>
  <c r="B198" i="29" s="1"/>
  <c r="B139" i="29" s="1"/>
  <c r="C133" i="40" l="1"/>
  <c r="R148" i="41"/>
  <c r="C91" i="29"/>
  <c r="C94" i="29"/>
  <c r="C134" i="40"/>
  <c r="S139" i="29"/>
  <c r="L139" i="29"/>
  <c r="K139" i="29"/>
  <c r="R138" i="29"/>
  <c r="R144" i="29"/>
  <c r="Q138" i="29"/>
  <c r="Q144" i="29"/>
  <c r="J138" i="29"/>
  <c r="J144" i="29"/>
  <c r="I138" i="29"/>
  <c r="I144" i="29"/>
  <c r="T139" i="29"/>
  <c r="P138" i="29"/>
  <c r="H138" i="29"/>
  <c r="C143" i="29"/>
  <c r="N143" i="29"/>
  <c r="F143" i="29"/>
  <c r="P144" i="29"/>
  <c r="H144" i="29"/>
  <c r="B143" i="29"/>
  <c r="O138" i="29"/>
  <c r="G138" i="29"/>
  <c r="D143" i="29"/>
  <c r="M143" i="29"/>
  <c r="E143" i="29"/>
  <c r="O144" i="29"/>
  <c r="G144" i="29"/>
  <c r="T143" i="29"/>
  <c r="L143" i="29"/>
  <c r="B144" i="29"/>
  <c r="N144" i="29"/>
  <c r="F144" i="29"/>
  <c r="S143" i="29"/>
  <c r="K143" i="29"/>
  <c r="C144" i="29"/>
  <c r="M144" i="29"/>
  <c r="E144" i="29"/>
  <c r="D139" i="29"/>
  <c r="B7" i="29"/>
  <c r="C93" i="29" l="1"/>
  <c r="C92" i="29"/>
  <c r="T175" i="41"/>
  <c r="S175" i="41"/>
  <c r="R175" i="41"/>
  <c r="Q175" i="41"/>
  <c r="P175" i="41"/>
  <c r="O175" i="41"/>
  <c r="N175" i="41"/>
  <c r="M175" i="41"/>
  <c r="L175" i="41"/>
  <c r="K175" i="41"/>
  <c r="J175" i="41"/>
  <c r="I175" i="41"/>
  <c r="H175" i="41"/>
  <c r="G175" i="41"/>
  <c r="F175" i="41"/>
  <c r="E175" i="41"/>
  <c r="D175" i="41"/>
  <c r="C175" i="41"/>
  <c r="B175" i="41"/>
  <c r="S154" i="40"/>
  <c r="S155" i="40"/>
  <c r="R155" i="40"/>
  <c r="Q155" i="40"/>
  <c r="O154" i="40"/>
  <c r="N154" i="40"/>
  <c r="M154" i="40"/>
  <c r="K155" i="40"/>
  <c r="J155" i="40"/>
  <c r="I155" i="40"/>
  <c r="G155" i="40"/>
  <c r="F154" i="40"/>
  <c r="E154" i="40"/>
  <c r="C155" i="40"/>
  <c r="S195" i="40"/>
  <c r="R195" i="40"/>
  <c r="Q195" i="40"/>
  <c r="P195" i="40"/>
  <c r="O195" i="40"/>
  <c r="N195" i="40"/>
  <c r="M195" i="40"/>
  <c r="L195" i="40"/>
  <c r="K195" i="40"/>
  <c r="J195" i="40"/>
  <c r="I195" i="40"/>
  <c r="H195" i="40"/>
  <c r="G195" i="40"/>
  <c r="F195" i="40"/>
  <c r="E195" i="40"/>
  <c r="D195" i="40"/>
  <c r="C195" i="40"/>
  <c r="B195" i="40"/>
  <c r="S190" i="40"/>
  <c r="R190" i="40"/>
  <c r="Q190" i="40"/>
  <c r="P190" i="40"/>
  <c r="O190" i="40"/>
  <c r="N190" i="40"/>
  <c r="M190" i="40"/>
  <c r="L190" i="40"/>
  <c r="K190" i="40"/>
  <c r="J190" i="40"/>
  <c r="I190" i="40"/>
  <c r="H190" i="40"/>
  <c r="G190" i="40"/>
  <c r="F190" i="40"/>
  <c r="E190" i="40"/>
  <c r="D190" i="40"/>
  <c r="C190" i="40"/>
  <c r="B190" i="40"/>
  <c r="K154" i="40" l="1"/>
  <c r="P155" i="40"/>
  <c r="L154" i="40"/>
  <c r="H155" i="40"/>
  <c r="D154" i="40"/>
  <c r="C154" i="40"/>
  <c r="O155" i="40"/>
  <c r="R154" i="40"/>
  <c r="J154" i="40"/>
  <c r="B155" i="40"/>
  <c r="N155" i="40"/>
  <c r="F155" i="40"/>
  <c r="Q154" i="40"/>
  <c r="I154" i="40"/>
  <c r="M155" i="40"/>
  <c r="E155" i="40"/>
  <c r="P154" i="40"/>
  <c r="H154" i="40"/>
  <c r="L155" i="40"/>
  <c r="D155" i="40"/>
  <c r="G154" i="40"/>
  <c r="B154" i="40"/>
  <c r="C28" i="29"/>
  <c r="B28" i="29"/>
  <c r="D20" i="29"/>
  <c r="D19" i="29"/>
  <c r="D18" i="29"/>
  <c r="D17" i="29"/>
  <c r="D16" i="29"/>
  <c r="D12" i="29"/>
  <c r="D13" i="29"/>
  <c r="D11" i="29"/>
  <c r="C38" i="29"/>
  <c r="C39" i="29"/>
  <c r="C40" i="29"/>
  <c r="C41" i="29"/>
  <c r="C42" i="29"/>
  <c r="C43" i="29"/>
  <c r="D21" i="29" l="1"/>
  <c r="D30" i="29" s="1"/>
  <c r="B26" i="41"/>
  <c r="C27" i="41"/>
  <c r="D28" i="29" l="1"/>
  <c r="C26" i="41"/>
  <c r="D27" i="41"/>
  <c r="D19" i="41"/>
  <c r="D20" i="41"/>
  <c r="D21" i="41"/>
  <c r="D22" i="41"/>
  <c r="D23" i="41"/>
  <c r="D24" i="41"/>
  <c r="D25" i="41"/>
  <c r="D17" i="41"/>
  <c r="D16" i="41"/>
  <c r="B48" i="36"/>
  <c r="C48" i="36"/>
  <c r="D156" i="40" l="1"/>
  <c r="E156" i="40"/>
  <c r="F156" i="40"/>
  <c r="G156" i="40"/>
  <c r="H156" i="40"/>
  <c r="I156" i="40"/>
  <c r="J156" i="40"/>
  <c r="K156" i="40"/>
  <c r="L156" i="40"/>
  <c r="M156" i="40"/>
  <c r="N156" i="40"/>
  <c r="O156" i="40"/>
  <c r="P156" i="40"/>
  <c r="Q156" i="40"/>
  <c r="R156" i="40"/>
  <c r="S156" i="40"/>
  <c r="T156" i="40"/>
  <c r="C156" i="40"/>
  <c r="B156" i="40"/>
  <c r="B134" i="40" l="1"/>
  <c r="F134" i="40" s="1"/>
  <c r="F183" i="40"/>
  <c r="C189" i="29" l="1"/>
  <c r="T185" i="29"/>
  <c r="S185" i="29"/>
  <c r="R185" i="29"/>
  <c r="Q185" i="29"/>
  <c r="P185" i="29"/>
  <c r="O185" i="29"/>
  <c r="N185" i="29"/>
  <c r="M185" i="29"/>
  <c r="L185" i="29"/>
  <c r="K185" i="29"/>
  <c r="J185" i="29"/>
  <c r="I185" i="29"/>
  <c r="H185" i="29"/>
  <c r="G185" i="29"/>
  <c r="F185" i="29"/>
  <c r="E185" i="29"/>
  <c r="D185" i="29"/>
  <c r="C185" i="29"/>
  <c r="B185" i="29"/>
  <c r="T179" i="29"/>
  <c r="S179" i="29"/>
  <c r="R179" i="29"/>
  <c r="Q179" i="29"/>
  <c r="P179" i="29"/>
  <c r="O179" i="29"/>
  <c r="N179" i="29"/>
  <c r="M179" i="29"/>
  <c r="L179" i="29"/>
  <c r="K179" i="29"/>
  <c r="J179" i="29"/>
  <c r="I179" i="29"/>
  <c r="H179" i="29"/>
  <c r="G179" i="29"/>
  <c r="F179" i="29"/>
  <c r="E179" i="29"/>
  <c r="D179" i="29"/>
  <c r="C179" i="29"/>
  <c r="B179" i="29"/>
  <c r="T116" i="29"/>
  <c r="O116" i="29"/>
  <c r="N116" i="29"/>
  <c r="M116" i="29"/>
  <c r="L116" i="29"/>
  <c r="I116" i="29"/>
  <c r="H116" i="29"/>
  <c r="G116" i="29"/>
  <c r="F116" i="29"/>
  <c r="E116" i="29"/>
  <c r="D116" i="29"/>
  <c r="P115" i="29"/>
  <c r="M115" i="29"/>
  <c r="H115" i="29"/>
  <c r="F115" i="29"/>
  <c r="E115" i="29"/>
  <c r="Q116" i="29"/>
  <c r="T165" i="41"/>
  <c r="S165" i="41"/>
  <c r="R165" i="41"/>
  <c r="Q165" i="41"/>
  <c r="P165" i="41"/>
  <c r="O165" i="41"/>
  <c r="N165" i="41"/>
  <c r="M165" i="41"/>
  <c r="L165" i="41"/>
  <c r="K165" i="41"/>
  <c r="J165" i="41"/>
  <c r="I165" i="41"/>
  <c r="H165" i="41"/>
  <c r="G165" i="41"/>
  <c r="F165" i="41"/>
  <c r="E165" i="41"/>
  <c r="D165" i="41"/>
  <c r="C165" i="41"/>
  <c r="B165" i="41"/>
  <c r="T160" i="41"/>
  <c r="S160" i="41"/>
  <c r="R160" i="41"/>
  <c r="Q160" i="41"/>
  <c r="P160" i="41"/>
  <c r="O160" i="41"/>
  <c r="N160" i="41"/>
  <c r="M160" i="41"/>
  <c r="L160" i="41"/>
  <c r="K160" i="41"/>
  <c r="J160" i="41"/>
  <c r="I160" i="41"/>
  <c r="H160" i="41"/>
  <c r="G160" i="41"/>
  <c r="F160" i="41"/>
  <c r="E160" i="41"/>
  <c r="D160" i="41"/>
  <c r="C160" i="41"/>
  <c r="B160" i="41"/>
  <c r="T125" i="41"/>
  <c r="S153" i="41"/>
  <c r="Q125" i="41"/>
  <c r="P125" i="41"/>
  <c r="K153" i="41"/>
  <c r="J125" i="41"/>
  <c r="I125" i="41"/>
  <c r="H125" i="41"/>
  <c r="G125" i="41"/>
  <c r="D125" i="41"/>
  <c r="C153" i="41"/>
  <c r="B125" i="41"/>
  <c r="R124" i="41"/>
  <c r="Q124" i="41"/>
  <c r="P124" i="41"/>
  <c r="M148" i="41"/>
  <c r="K124" i="41"/>
  <c r="J124" i="41"/>
  <c r="I124" i="41"/>
  <c r="H124" i="41"/>
  <c r="E148" i="41"/>
  <c r="C124" i="41"/>
  <c r="B124" i="41"/>
  <c r="R125" i="41"/>
  <c r="L125" i="41"/>
  <c r="C57" i="41"/>
  <c r="B57" i="41"/>
  <c r="C56" i="41"/>
  <c r="C55" i="41"/>
  <c r="B55" i="41"/>
  <c r="C54" i="41"/>
  <c r="B54" i="41"/>
  <c r="C53" i="41"/>
  <c r="B53" i="41"/>
  <c r="C52" i="41"/>
  <c r="B52" i="41"/>
  <c r="C51" i="41"/>
  <c r="B51" i="41"/>
  <c r="C50" i="41"/>
  <c r="B50" i="41"/>
  <c r="C49" i="41"/>
  <c r="B49" i="41"/>
  <c r="C48" i="41"/>
  <c r="B48" i="41"/>
  <c r="C47" i="41"/>
  <c r="B47" i="41"/>
  <c r="D56" i="41" s="1"/>
  <c r="C41" i="41"/>
  <c r="B41" i="41"/>
  <c r="C40" i="41"/>
  <c r="B40" i="41"/>
  <c r="C39" i="41"/>
  <c r="B39" i="41"/>
  <c r="C38" i="41"/>
  <c r="B38" i="41"/>
  <c r="C37" i="41"/>
  <c r="B37" i="41"/>
  <c r="C36" i="41"/>
  <c r="B36" i="41"/>
  <c r="C35" i="41"/>
  <c r="B35" i="41"/>
  <c r="C34" i="41"/>
  <c r="B34" i="41"/>
  <c r="C33" i="41"/>
  <c r="B33" i="41"/>
  <c r="C32" i="41"/>
  <c r="B32" i="41"/>
  <c r="C31" i="41"/>
  <c r="C9" i="41"/>
  <c r="B9" i="41"/>
  <c r="B31" i="41" s="1"/>
  <c r="C8" i="41"/>
  <c r="B8" i="41"/>
  <c r="Q65" i="42"/>
  <c r="Q11" i="42"/>
  <c r="C86" i="40"/>
  <c r="C87" i="40"/>
  <c r="C88" i="40"/>
  <c r="C89" i="40"/>
  <c r="C90" i="40"/>
  <c r="C91" i="40"/>
  <c r="C92" i="40"/>
  <c r="C93" i="40"/>
  <c r="C94" i="40"/>
  <c r="C95" i="40"/>
  <c r="C85" i="40"/>
  <c r="C84" i="40"/>
  <c r="N140" i="29" l="1"/>
  <c r="B64" i="14"/>
  <c r="I145" i="29"/>
  <c r="O153" i="41"/>
  <c r="B106" i="41"/>
  <c r="D73" i="41" s="1"/>
  <c r="F148" i="41"/>
  <c r="N148" i="41"/>
  <c r="D148" i="41"/>
  <c r="L148" i="41"/>
  <c r="T148" i="41"/>
  <c r="C125" i="41"/>
  <c r="C103" i="41"/>
  <c r="C72" i="41" s="1"/>
  <c r="K125" i="41"/>
  <c r="Q148" i="41"/>
  <c r="B148" i="41"/>
  <c r="J148" i="41"/>
  <c r="C104" i="41"/>
  <c r="E72" i="41" s="1"/>
  <c r="K148" i="41"/>
  <c r="S148" i="41"/>
  <c r="G148" i="41"/>
  <c r="O148" i="41"/>
  <c r="S124" i="41"/>
  <c r="S125" i="41"/>
  <c r="P148" i="41"/>
  <c r="Q153" i="41"/>
  <c r="B10" i="41"/>
  <c r="D37" i="41"/>
  <c r="D32" i="41"/>
  <c r="D53" i="41"/>
  <c r="C10" i="41"/>
  <c r="B13" i="41"/>
  <c r="D41" i="41"/>
  <c r="B64" i="41"/>
  <c r="D64" i="41" s="1"/>
  <c r="C13" i="41"/>
  <c r="D34" i="41"/>
  <c r="D55" i="41"/>
  <c r="D35" i="41"/>
  <c r="D57" i="41"/>
  <c r="E54" i="29"/>
  <c r="G140" i="29"/>
  <c r="O140" i="29"/>
  <c r="J145" i="29"/>
  <c r="R145" i="29"/>
  <c r="I140" i="29"/>
  <c r="Q140" i="29"/>
  <c r="C145" i="29"/>
  <c r="K145" i="29"/>
  <c r="S145" i="29"/>
  <c r="B93" i="29"/>
  <c r="B140" i="29"/>
  <c r="J140" i="29"/>
  <c r="R140" i="29"/>
  <c r="Q145" i="29"/>
  <c r="F145" i="29"/>
  <c r="N115" i="29"/>
  <c r="C140" i="29"/>
  <c r="E145" i="29"/>
  <c r="B94" i="29"/>
  <c r="F140" i="29"/>
  <c r="K140" i="29"/>
  <c r="N145" i="29"/>
  <c r="B92" i="29"/>
  <c r="F92" i="29" s="1"/>
  <c r="D145" i="29"/>
  <c r="G115" i="29"/>
  <c r="E140" i="29"/>
  <c r="J115" i="29"/>
  <c r="D140" i="29"/>
  <c r="L140" i="29"/>
  <c r="T140" i="29"/>
  <c r="M145" i="29"/>
  <c r="T145" i="29"/>
  <c r="I115" i="29"/>
  <c r="C54" i="29"/>
  <c r="O115" i="29"/>
  <c r="E53" i="29"/>
  <c r="M140" i="29"/>
  <c r="L145" i="29"/>
  <c r="Q115" i="29"/>
  <c r="G145" i="29"/>
  <c r="O145" i="29"/>
  <c r="B115" i="29"/>
  <c r="R115" i="29"/>
  <c r="H145" i="29"/>
  <c r="P145" i="29"/>
  <c r="P116" i="29"/>
  <c r="C115" i="29"/>
  <c r="K115" i="29"/>
  <c r="S115" i="29"/>
  <c r="D115" i="29"/>
  <c r="L115" i="29"/>
  <c r="T115" i="29"/>
  <c r="D7" i="14" s="1"/>
  <c r="H140" i="29"/>
  <c r="P140" i="29"/>
  <c r="B116" i="29"/>
  <c r="J116" i="29"/>
  <c r="R116" i="29"/>
  <c r="B91" i="29"/>
  <c r="F91" i="29" s="1"/>
  <c r="C116" i="29"/>
  <c r="S116" i="29"/>
  <c r="S140" i="29"/>
  <c r="B145" i="29"/>
  <c r="K116" i="29"/>
  <c r="D38" i="41"/>
  <c r="D124" i="41"/>
  <c r="H153" i="41"/>
  <c r="C58" i="41"/>
  <c r="I153" i="41"/>
  <c r="B103" i="41"/>
  <c r="D36" i="41"/>
  <c r="D48" i="41"/>
  <c r="H148" i="41"/>
  <c r="D153" i="41"/>
  <c r="L153" i="41"/>
  <c r="T153" i="41"/>
  <c r="C42" i="41"/>
  <c r="B58" i="41"/>
  <c r="D58" i="41" s="1"/>
  <c r="D54" i="41"/>
  <c r="T124" i="41"/>
  <c r="G63" i="41"/>
  <c r="H63" i="41" s="1"/>
  <c r="D39" i="41"/>
  <c r="D51" i="41"/>
  <c r="E124" i="41"/>
  <c r="D47" i="41"/>
  <c r="P153" i="41"/>
  <c r="D33" i="41"/>
  <c r="L124" i="41"/>
  <c r="I148" i="41"/>
  <c r="E153" i="41"/>
  <c r="M153" i="41"/>
  <c r="B153" i="41"/>
  <c r="J153" i="41"/>
  <c r="C106" i="41"/>
  <c r="B104" i="41"/>
  <c r="D72" i="41" s="1"/>
  <c r="D40" i="41"/>
  <c r="D52" i="41"/>
  <c r="M124" i="41"/>
  <c r="F153" i="41"/>
  <c r="N153" i="41"/>
  <c r="G153" i="41"/>
  <c r="B63" i="41"/>
  <c r="F124" i="41"/>
  <c r="G64" i="41"/>
  <c r="R153" i="41"/>
  <c r="B42" i="41"/>
  <c r="D42" i="41" s="1"/>
  <c r="B105" i="41"/>
  <c r="B73" i="41" s="1"/>
  <c r="E125" i="41"/>
  <c r="M125" i="41"/>
  <c r="N124" i="41"/>
  <c r="G124" i="41"/>
  <c r="D31" i="41"/>
  <c r="C105" i="41"/>
  <c r="F125" i="41"/>
  <c r="N125" i="41"/>
  <c r="D50" i="41"/>
  <c r="O124" i="41"/>
  <c r="C148" i="41"/>
  <c r="O125" i="41"/>
  <c r="D49" i="41"/>
  <c r="C83" i="40"/>
  <c r="C16" i="40"/>
  <c r="C15" i="40"/>
  <c r="B32" i="40" s="1"/>
  <c r="C17" i="40"/>
  <c r="C68" i="40"/>
  <c r="B80" i="40"/>
  <c r="B71" i="40"/>
  <c r="B72" i="40"/>
  <c r="B73" i="40"/>
  <c r="B74" i="40"/>
  <c r="B75" i="40"/>
  <c r="B76" i="40"/>
  <c r="B77" i="40"/>
  <c r="B70" i="40"/>
  <c r="E70" i="40" s="1"/>
  <c r="B69" i="40"/>
  <c r="D77" i="40" l="1"/>
  <c r="E77" i="40"/>
  <c r="D80" i="40"/>
  <c r="E80" i="40"/>
  <c r="F80" i="40" s="1"/>
  <c r="B86" i="40"/>
  <c r="E86" i="40" s="1"/>
  <c r="B36" i="40"/>
  <c r="D72" i="40"/>
  <c r="E72" i="40"/>
  <c r="D69" i="40"/>
  <c r="E69" i="40"/>
  <c r="D76" i="40"/>
  <c r="E76" i="40"/>
  <c r="D74" i="40"/>
  <c r="E74" i="40"/>
  <c r="B87" i="40"/>
  <c r="E87" i="40" s="1"/>
  <c r="B35" i="40"/>
  <c r="D71" i="40"/>
  <c r="E71" i="40"/>
  <c r="D75" i="40"/>
  <c r="E75" i="40"/>
  <c r="D73" i="40"/>
  <c r="E73" i="40"/>
  <c r="D70" i="40"/>
  <c r="H93" i="29"/>
  <c r="G93" i="29"/>
  <c r="H91" i="29"/>
  <c r="G91" i="29"/>
  <c r="C79" i="29"/>
  <c r="B79" i="29"/>
  <c r="B54" i="29"/>
  <c r="F93" i="29"/>
  <c r="C75" i="29" s="1"/>
  <c r="D54" i="29"/>
  <c r="F94" i="29"/>
  <c r="F106" i="41"/>
  <c r="C89" i="41" s="1"/>
  <c r="B71" i="14"/>
  <c r="B58" i="14"/>
  <c r="E73" i="41"/>
  <c r="B95" i="41"/>
  <c r="F103" i="41"/>
  <c r="B88" i="41" s="1"/>
  <c r="D103" i="41"/>
  <c r="E103" i="41" s="1"/>
  <c r="H72" i="41" s="1"/>
  <c r="C64" i="41"/>
  <c r="I63" i="41"/>
  <c r="D94" i="29"/>
  <c r="E94" i="29" s="1"/>
  <c r="I54" i="29" s="1"/>
  <c r="B86" i="29"/>
  <c r="C86" i="29"/>
  <c r="D53" i="29"/>
  <c r="D92" i="29"/>
  <c r="E92" i="29" s="1"/>
  <c r="H54" i="29" s="1"/>
  <c r="C85" i="29"/>
  <c r="C53" i="29"/>
  <c r="D93" i="29"/>
  <c r="E93" i="29" s="1"/>
  <c r="I53" i="29" s="1"/>
  <c r="B53" i="29"/>
  <c r="B85" i="29"/>
  <c r="D91" i="29"/>
  <c r="E91" i="29" s="1"/>
  <c r="H53" i="29" s="1"/>
  <c r="B75" i="29"/>
  <c r="B257" i="29" s="1"/>
  <c r="B96" i="41"/>
  <c r="B72" i="41"/>
  <c r="F104" i="41"/>
  <c r="B89" i="41" s="1"/>
  <c r="D106" i="41"/>
  <c r="E106" i="41" s="1"/>
  <c r="I73" i="41" s="1"/>
  <c r="D104" i="41"/>
  <c r="E104" i="41" s="1"/>
  <c r="H73" i="41" s="1"/>
  <c r="C96" i="41"/>
  <c r="C63" i="41"/>
  <c r="D63" i="41"/>
  <c r="I64" i="41"/>
  <c r="H64" i="41"/>
  <c r="F105" i="41"/>
  <c r="C88" i="41" s="1"/>
  <c r="D105" i="41"/>
  <c r="E105" i="41" s="1"/>
  <c r="I72" i="41" s="1"/>
  <c r="C73" i="41"/>
  <c r="C95" i="41"/>
  <c r="B85" i="40"/>
  <c r="D86" i="40"/>
  <c r="D87" i="40"/>
  <c r="D85" i="40" l="1"/>
  <c r="E85" i="40"/>
  <c r="B44" i="14"/>
  <c r="B81" i="14"/>
  <c r="B45" i="14"/>
  <c r="B82" i="14"/>
  <c r="C76" i="29"/>
  <c r="C81" i="14" s="1"/>
  <c r="B51" i="14"/>
  <c r="B76" i="29"/>
  <c r="C82" i="14" s="1"/>
  <c r="B52" i="14"/>
  <c r="D51" i="40"/>
  <c r="C14" i="40"/>
  <c r="D52" i="40"/>
  <c r="D53" i="40"/>
  <c r="D54" i="40"/>
  <c r="D55" i="40"/>
  <c r="D56" i="40"/>
  <c r="D57" i="40"/>
  <c r="D58" i="40"/>
  <c r="D59" i="40"/>
  <c r="D60" i="40"/>
  <c r="D61" i="40"/>
  <c r="D62" i="40"/>
  <c r="B84" i="40" l="1"/>
  <c r="E84" i="40" s="1"/>
  <c r="B31" i="40"/>
  <c r="D52" i="14"/>
  <c r="C44" i="14"/>
  <c r="D50" i="14"/>
  <c r="D84" i="40"/>
  <c r="D26" i="40"/>
  <c r="C22" i="40"/>
  <c r="C25" i="40"/>
  <c r="B24" i="40"/>
  <c r="B79" i="40" s="1"/>
  <c r="C24" i="40"/>
  <c r="B23" i="40"/>
  <c r="C23" i="40"/>
  <c r="C20" i="40"/>
  <c r="B41" i="40" s="1"/>
  <c r="C18" i="40"/>
  <c r="C19" i="40"/>
  <c r="C21" i="40"/>
  <c r="E15" i="40" l="1"/>
  <c r="B43" i="40"/>
  <c r="C31" i="40"/>
  <c r="C41" i="40"/>
  <c r="D79" i="40"/>
  <c r="E79" i="40"/>
  <c r="B88" i="40"/>
  <c r="E88" i="40" s="1"/>
  <c r="B39" i="40"/>
  <c r="C39" i="40" s="1"/>
  <c r="B89" i="40"/>
  <c r="E89" i="40" s="1"/>
  <c r="B37" i="40"/>
  <c r="B94" i="40"/>
  <c r="B93" i="40"/>
  <c r="B95" i="40"/>
  <c r="B90" i="40"/>
  <c r="B91" i="40"/>
  <c r="B92" i="40"/>
  <c r="B26" i="40"/>
  <c r="B78" i="40"/>
  <c r="E78" i="40" s="1"/>
  <c r="B50" i="40"/>
  <c r="D50" i="40" s="1"/>
  <c r="D89" i="40"/>
  <c r="C26" i="40"/>
  <c r="H183" i="40"/>
  <c r="I178" i="40"/>
  <c r="Q178" i="40"/>
  <c r="C183" i="40"/>
  <c r="K183" i="40"/>
  <c r="S183" i="40"/>
  <c r="B136" i="40"/>
  <c r="F136" i="40" s="1"/>
  <c r="E103" i="40"/>
  <c r="D183" i="40"/>
  <c r="L183" i="40"/>
  <c r="P178" i="40"/>
  <c r="H178" i="40"/>
  <c r="P183" i="40"/>
  <c r="M178" i="40"/>
  <c r="E183" i="40"/>
  <c r="M183" i="40"/>
  <c r="N183" i="40"/>
  <c r="G178" i="40"/>
  <c r="I183" i="40"/>
  <c r="Q183" i="40"/>
  <c r="O183" i="40"/>
  <c r="B133" i="40"/>
  <c r="F133" i="40" s="1"/>
  <c r="C178" i="40"/>
  <c r="K178" i="40"/>
  <c r="S178" i="40"/>
  <c r="O178" i="40"/>
  <c r="D178" i="40"/>
  <c r="B178" i="40"/>
  <c r="J178" i="40"/>
  <c r="R178" i="40"/>
  <c r="G183" i="40"/>
  <c r="L178" i="40"/>
  <c r="F178" i="40"/>
  <c r="N178" i="40"/>
  <c r="B135" i="40"/>
  <c r="F135" i="40" s="1"/>
  <c r="J183" i="40"/>
  <c r="R183" i="40"/>
  <c r="B183" i="40"/>
  <c r="E178" i="40"/>
  <c r="D90" i="40" l="1"/>
  <c r="E90" i="40"/>
  <c r="D88" i="40"/>
  <c r="D95" i="40"/>
  <c r="E95" i="40"/>
  <c r="F95" i="40" s="1"/>
  <c r="D91" i="40"/>
  <c r="E91" i="40"/>
  <c r="D94" i="40"/>
  <c r="E94" i="40"/>
  <c r="D92" i="40"/>
  <c r="E92" i="40"/>
  <c r="D93" i="40"/>
  <c r="E93" i="40"/>
  <c r="C38" i="40"/>
  <c r="C34" i="40"/>
  <c r="C40" i="40"/>
  <c r="C33" i="40"/>
  <c r="C32" i="40"/>
  <c r="C36" i="40"/>
  <c r="C35" i="40"/>
  <c r="C37" i="40"/>
  <c r="B42" i="40"/>
  <c r="C42" i="40" s="1"/>
  <c r="B103" i="40"/>
  <c r="C118" i="40"/>
  <c r="D103" i="40"/>
  <c r="B49" i="14"/>
  <c r="E102" i="40"/>
  <c r="B50" i="14"/>
  <c r="B102" i="40"/>
  <c r="B118" i="40"/>
  <c r="B43" i="14" s="1"/>
  <c r="C9" i="14"/>
  <c r="B10" i="40"/>
  <c r="B9" i="14"/>
  <c r="E54" i="40"/>
  <c r="E58" i="40"/>
  <c r="E56" i="40"/>
  <c r="E60" i="40"/>
  <c r="E52" i="40"/>
  <c r="E53" i="40"/>
  <c r="E50" i="40"/>
  <c r="E57" i="40"/>
  <c r="E55" i="40"/>
  <c r="E59" i="40"/>
  <c r="E51" i="40"/>
  <c r="E61" i="40"/>
  <c r="B83" i="40"/>
  <c r="E83" i="40" s="1"/>
  <c r="C10" i="40"/>
  <c r="E62" i="40"/>
  <c r="D78" i="40"/>
  <c r="B68" i="40"/>
  <c r="C126" i="40"/>
  <c r="D134" i="40"/>
  <c r="E134" i="40" s="1"/>
  <c r="H103" i="40" s="1"/>
  <c r="D102" i="40"/>
  <c r="B126" i="40"/>
  <c r="D136" i="40"/>
  <c r="E136" i="40" s="1"/>
  <c r="I103" i="40" s="1"/>
  <c r="B125" i="40"/>
  <c r="D135" i="40"/>
  <c r="E135" i="40" s="1"/>
  <c r="I102" i="40" s="1"/>
  <c r="C103" i="40"/>
  <c r="C125" i="40"/>
  <c r="C102" i="40"/>
  <c r="L103" i="40" s="1"/>
  <c r="M103" i="40" s="1"/>
  <c r="D133" i="40"/>
  <c r="E133" i="40" s="1"/>
  <c r="H102" i="40" s="1"/>
  <c r="E138" i="1"/>
  <c r="F138" i="1"/>
  <c r="G138" i="1"/>
  <c r="H138" i="1"/>
  <c r="I138" i="1"/>
  <c r="J138" i="1"/>
  <c r="K138" i="1"/>
  <c r="L138" i="1"/>
  <c r="M138" i="1"/>
  <c r="N138" i="1"/>
  <c r="O138" i="1"/>
  <c r="P138" i="1"/>
  <c r="Q138" i="1"/>
  <c r="R138" i="1"/>
  <c r="S138" i="1"/>
  <c r="T138" i="1"/>
  <c r="U138" i="1"/>
  <c r="V138" i="1"/>
  <c r="D138" i="1"/>
  <c r="V134" i="1"/>
  <c r="E134" i="1"/>
  <c r="F134" i="1"/>
  <c r="G134" i="1"/>
  <c r="H134" i="1"/>
  <c r="I134" i="1"/>
  <c r="J134" i="1"/>
  <c r="K134" i="1"/>
  <c r="L134" i="1"/>
  <c r="M134" i="1"/>
  <c r="N134" i="1"/>
  <c r="O134" i="1"/>
  <c r="P134" i="1"/>
  <c r="Q134" i="1"/>
  <c r="R134" i="1"/>
  <c r="S134" i="1"/>
  <c r="T134" i="1"/>
  <c r="U134" i="1"/>
  <c r="D134" i="1"/>
  <c r="E111" i="1"/>
  <c r="F111" i="1"/>
  <c r="G111" i="1"/>
  <c r="H111" i="1"/>
  <c r="I111" i="1"/>
  <c r="J111" i="1"/>
  <c r="K111" i="1"/>
  <c r="L111" i="1"/>
  <c r="M111" i="1"/>
  <c r="N111" i="1"/>
  <c r="O111" i="1"/>
  <c r="P111" i="1"/>
  <c r="Q111" i="1"/>
  <c r="R111" i="1"/>
  <c r="S111" i="1"/>
  <c r="T111" i="1"/>
  <c r="U111" i="1"/>
  <c r="V111" i="1"/>
  <c r="D111" i="1"/>
  <c r="E107" i="1"/>
  <c r="F107" i="1"/>
  <c r="G107" i="1"/>
  <c r="H107" i="1"/>
  <c r="I107" i="1"/>
  <c r="J107" i="1"/>
  <c r="K107" i="1"/>
  <c r="L107" i="1"/>
  <c r="M107" i="1"/>
  <c r="N107" i="1"/>
  <c r="O107" i="1"/>
  <c r="P107" i="1"/>
  <c r="Q107" i="1"/>
  <c r="R107" i="1"/>
  <c r="S107" i="1"/>
  <c r="T107" i="1"/>
  <c r="U107" i="1"/>
  <c r="V107" i="1"/>
  <c r="D107" i="1"/>
  <c r="E120" i="1"/>
  <c r="F120" i="1"/>
  <c r="G120" i="1"/>
  <c r="H120" i="1"/>
  <c r="I120" i="1"/>
  <c r="J120" i="1"/>
  <c r="K120" i="1"/>
  <c r="L120" i="1"/>
  <c r="M120" i="1"/>
  <c r="N120" i="1"/>
  <c r="O120" i="1"/>
  <c r="P120" i="1"/>
  <c r="Q120" i="1"/>
  <c r="R120" i="1"/>
  <c r="S120" i="1"/>
  <c r="T120" i="1"/>
  <c r="U120" i="1"/>
  <c r="V120" i="1"/>
  <c r="D120" i="1"/>
  <c r="E116" i="1"/>
  <c r="F116" i="1"/>
  <c r="G116" i="1"/>
  <c r="H116" i="1"/>
  <c r="I116" i="1"/>
  <c r="J116" i="1"/>
  <c r="K116" i="1"/>
  <c r="L116" i="1"/>
  <c r="M116" i="1"/>
  <c r="N116" i="1"/>
  <c r="O116" i="1"/>
  <c r="P116" i="1"/>
  <c r="Q116" i="1"/>
  <c r="R116" i="1"/>
  <c r="S116" i="1"/>
  <c r="T116" i="1"/>
  <c r="U116" i="1"/>
  <c r="V116" i="1"/>
  <c r="D116" i="1"/>
  <c r="N69" i="40" l="1"/>
  <c r="E68" i="40"/>
  <c r="D49" i="14"/>
  <c r="C43" i="40"/>
  <c r="B84" i="14"/>
  <c r="B42" i="14"/>
  <c r="B83" i="14"/>
  <c r="B119" i="40"/>
  <c r="C84" i="14" s="1"/>
  <c r="C119" i="40"/>
  <c r="C83" i="14" s="1"/>
  <c r="B77" i="14"/>
  <c r="D8" i="14"/>
  <c r="D9" i="14" s="1"/>
  <c r="C10" i="14" s="1"/>
  <c r="D83" i="40"/>
  <c r="C11" i="40"/>
  <c r="D68" i="40"/>
  <c r="B11" i="40"/>
  <c r="D10" i="40"/>
  <c r="B66" i="14" s="1"/>
  <c r="D11" i="40" l="1"/>
  <c r="B60" i="14" s="1"/>
  <c r="B10" i="14"/>
  <c r="G48" i="36" l="1"/>
  <c r="F48" i="36"/>
  <c r="L47" i="36"/>
  <c r="K47" i="36"/>
  <c r="H8" i="36"/>
  <c r="H9" i="36"/>
  <c r="H10" i="36"/>
  <c r="H11" i="36"/>
  <c r="H12" i="36"/>
  <c r="H13" i="36"/>
  <c r="H14" i="36"/>
  <c r="H15" i="36"/>
  <c r="H16" i="36"/>
  <c r="H17" i="36"/>
  <c r="H18" i="36"/>
  <c r="H19" i="36"/>
  <c r="H20" i="36"/>
  <c r="H21" i="36"/>
  <c r="H22" i="36"/>
  <c r="H23" i="36"/>
  <c r="H24" i="36"/>
  <c r="H25" i="36"/>
  <c r="H26" i="36"/>
  <c r="H27" i="36"/>
  <c r="H28" i="36"/>
  <c r="H29" i="36"/>
  <c r="H30" i="36"/>
  <c r="H31" i="36"/>
  <c r="H32" i="36"/>
  <c r="H33" i="36"/>
  <c r="H34" i="36"/>
  <c r="H35" i="36"/>
  <c r="H36" i="36"/>
  <c r="H37" i="36"/>
  <c r="H38" i="36"/>
  <c r="H39" i="36"/>
  <c r="H40" i="36"/>
  <c r="H41" i="36"/>
  <c r="H42" i="36"/>
  <c r="H43" i="36"/>
  <c r="H44" i="36"/>
  <c r="H45" i="36"/>
  <c r="H46" i="36"/>
  <c r="H47" i="36"/>
  <c r="D9" i="36"/>
  <c r="D10" i="36"/>
  <c r="D11" i="36"/>
  <c r="D12" i="36"/>
  <c r="D13" i="36"/>
  <c r="D14" i="36"/>
  <c r="D15" i="36"/>
  <c r="D16" i="36"/>
  <c r="D17" i="36"/>
  <c r="D18" i="36"/>
  <c r="D19" i="36"/>
  <c r="D20" i="36"/>
  <c r="D21" i="36"/>
  <c r="D22" i="36"/>
  <c r="D23" i="36"/>
  <c r="D24" i="36"/>
  <c r="D25" i="36"/>
  <c r="D26" i="36"/>
  <c r="D27" i="36"/>
  <c r="D28" i="36"/>
  <c r="D29" i="36"/>
  <c r="D30" i="36"/>
  <c r="D31" i="36"/>
  <c r="D32" i="36"/>
  <c r="D33" i="36"/>
  <c r="D34" i="36"/>
  <c r="D35" i="36"/>
  <c r="D36" i="36"/>
  <c r="D37" i="36"/>
  <c r="D38" i="36"/>
  <c r="D39" i="36"/>
  <c r="D40" i="36"/>
  <c r="D41" i="36"/>
  <c r="D42" i="36"/>
  <c r="D43" i="36"/>
  <c r="D44" i="36"/>
  <c r="D45" i="36"/>
  <c r="D46" i="36"/>
  <c r="D47" i="36"/>
  <c r="D8" i="36"/>
  <c r="B12" i="14" l="1"/>
  <c r="B37" i="29" l="1"/>
  <c r="B44" i="29"/>
  <c r="E37" i="29" s="1"/>
  <c r="C37" i="29"/>
  <c r="D41" i="29" l="1"/>
  <c r="D40" i="29"/>
  <c r="D39" i="29"/>
  <c r="D42" i="29"/>
  <c r="D38" i="29"/>
  <c r="D43" i="29"/>
  <c r="C47" i="29"/>
  <c r="B47" i="29"/>
  <c r="V66" i="1" l="1"/>
  <c r="U66" i="1"/>
  <c r="T66" i="1"/>
  <c r="S66" i="1"/>
  <c r="R66" i="1"/>
  <c r="Q66" i="1"/>
  <c r="P66" i="1"/>
  <c r="O66" i="1"/>
  <c r="N66" i="1"/>
  <c r="M66" i="1"/>
  <c r="L66" i="1"/>
  <c r="K66" i="1"/>
  <c r="J66" i="1"/>
  <c r="I66" i="1"/>
  <c r="H66" i="1"/>
  <c r="G66" i="1"/>
  <c r="F66" i="1"/>
  <c r="E66" i="1"/>
  <c r="D66" i="1"/>
  <c r="V62" i="1"/>
  <c r="U62" i="1"/>
  <c r="T62" i="1"/>
  <c r="S62" i="1"/>
  <c r="R62" i="1"/>
  <c r="Q62" i="1"/>
  <c r="P62" i="1"/>
  <c r="O62" i="1"/>
  <c r="N62" i="1"/>
  <c r="M62" i="1"/>
  <c r="L62" i="1"/>
  <c r="K62" i="1"/>
  <c r="J62" i="1"/>
  <c r="I62" i="1"/>
  <c r="H62" i="1"/>
  <c r="G62" i="1"/>
  <c r="F62" i="1"/>
  <c r="E62" i="1"/>
  <c r="D62" i="1"/>
  <c r="V75" i="1"/>
  <c r="U75" i="1"/>
  <c r="T75" i="1"/>
  <c r="S75" i="1"/>
  <c r="R75" i="1"/>
  <c r="Q75" i="1"/>
  <c r="P75" i="1"/>
  <c r="O75" i="1"/>
  <c r="N75" i="1"/>
  <c r="M75" i="1"/>
  <c r="L75" i="1"/>
  <c r="K75" i="1"/>
  <c r="J75" i="1"/>
  <c r="I75" i="1"/>
  <c r="H75" i="1"/>
  <c r="G75" i="1"/>
  <c r="F75" i="1"/>
  <c r="E75" i="1"/>
  <c r="D75" i="1"/>
  <c r="V71" i="1"/>
  <c r="U71" i="1"/>
  <c r="T71" i="1"/>
  <c r="S71" i="1"/>
  <c r="R71" i="1"/>
  <c r="Q71" i="1"/>
  <c r="P71" i="1"/>
  <c r="O71" i="1"/>
  <c r="N71" i="1"/>
  <c r="M71" i="1"/>
  <c r="L71" i="1"/>
  <c r="K71" i="1"/>
  <c r="J71" i="1"/>
  <c r="I71" i="1"/>
  <c r="H71" i="1"/>
  <c r="G71" i="1"/>
  <c r="F71" i="1"/>
  <c r="E71" i="1"/>
  <c r="D71" i="1"/>
  <c r="V93" i="1" l="1"/>
  <c r="U93" i="1"/>
  <c r="T93" i="1"/>
  <c r="S93" i="1"/>
  <c r="R93" i="1"/>
  <c r="Q93" i="1"/>
  <c r="P93" i="1"/>
  <c r="O93" i="1"/>
  <c r="N93" i="1"/>
  <c r="M93" i="1"/>
  <c r="L93" i="1"/>
  <c r="K93" i="1"/>
  <c r="J93" i="1"/>
  <c r="I93" i="1"/>
  <c r="H93" i="1"/>
  <c r="G93" i="1"/>
  <c r="F93" i="1"/>
  <c r="E93" i="1"/>
  <c r="D93" i="1"/>
  <c r="V89" i="1"/>
  <c r="U89" i="1"/>
  <c r="T89" i="1"/>
  <c r="S89" i="1"/>
  <c r="R89" i="1"/>
  <c r="Q89" i="1"/>
  <c r="P89" i="1"/>
  <c r="O89" i="1"/>
  <c r="N89" i="1"/>
  <c r="M89" i="1"/>
  <c r="L89" i="1"/>
  <c r="K89" i="1"/>
  <c r="J89" i="1"/>
  <c r="I89" i="1"/>
  <c r="H89" i="1"/>
  <c r="G89" i="1"/>
  <c r="F89" i="1"/>
  <c r="E89" i="1"/>
  <c r="D89" i="1"/>
  <c r="V84" i="1"/>
  <c r="U84" i="1"/>
  <c r="T84" i="1"/>
  <c r="S84" i="1"/>
  <c r="R84" i="1"/>
  <c r="Q84" i="1"/>
  <c r="P84" i="1"/>
  <c r="O84" i="1"/>
  <c r="N84" i="1"/>
  <c r="M84" i="1"/>
  <c r="L84" i="1"/>
  <c r="K84" i="1"/>
  <c r="J84" i="1"/>
  <c r="I84" i="1"/>
  <c r="H84" i="1"/>
  <c r="G84" i="1"/>
  <c r="F84" i="1"/>
  <c r="E84" i="1"/>
  <c r="D84" i="1"/>
  <c r="V80" i="1"/>
  <c r="U80" i="1"/>
  <c r="T80" i="1"/>
  <c r="S80" i="1"/>
  <c r="R80" i="1"/>
  <c r="Q80" i="1"/>
  <c r="P80" i="1"/>
  <c r="O80" i="1"/>
  <c r="N80" i="1"/>
  <c r="M80" i="1"/>
  <c r="L80" i="1"/>
  <c r="K80" i="1"/>
  <c r="J80" i="1"/>
  <c r="I80" i="1"/>
  <c r="H80" i="1"/>
  <c r="G80" i="1"/>
  <c r="F80" i="1"/>
  <c r="E80" i="1"/>
  <c r="D80" i="1"/>
  <c r="V46" i="1"/>
  <c r="U46" i="1"/>
  <c r="T46" i="1"/>
  <c r="S46" i="1"/>
  <c r="R46" i="1"/>
  <c r="Q46" i="1"/>
  <c r="P46" i="1"/>
  <c r="O46" i="1"/>
  <c r="N46" i="1"/>
  <c r="M46" i="1"/>
  <c r="L46" i="1"/>
  <c r="K46" i="1"/>
  <c r="J46" i="1"/>
  <c r="I46" i="1"/>
  <c r="H46" i="1"/>
  <c r="G46" i="1"/>
  <c r="F46" i="1"/>
  <c r="E46" i="1"/>
  <c r="D46" i="1"/>
  <c r="V42" i="1"/>
  <c r="U42" i="1"/>
  <c r="T42" i="1"/>
  <c r="S42" i="1"/>
  <c r="R42" i="1"/>
  <c r="Q42" i="1"/>
  <c r="P42" i="1"/>
  <c r="O42" i="1"/>
  <c r="N42" i="1"/>
  <c r="M42" i="1"/>
  <c r="L42" i="1"/>
  <c r="K42" i="1"/>
  <c r="J42" i="1"/>
  <c r="I42" i="1"/>
  <c r="H42" i="1"/>
  <c r="G42" i="1"/>
  <c r="F42" i="1"/>
  <c r="E42" i="1"/>
  <c r="D42" i="1"/>
  <c r="D53" i="1"/>
  <c r="E53" i="1"/>
  <c r="F53" i="1"/>
  <c r="G53" i="1"/>
  <c r="H53" i="1"/>
  <c r="I53" i="1"/>
  <c r="J53" i="1"/>
  <c r="K53" i="1"/>
  <c r="L53" i="1"/>
  <c r="M53" i="1"/>
  <c r="N53" i="1"/>
  <c r="O53" i="1"/>
  <c r="P53" i="1"/>
  <c r="Q53" i="1"/>
  <c r="R53" i="1"/>
  <c r="S53" i="1"/>
  <c r="T53" i="1"/>
  <c r="U53" i="1"/>
  <c r="V53" i="1"/>
  <c r="D57" i="1"/>
  <c r="E57" i="1"/>
  <c r="F57" i="1"/>
  <c r="G57" i="1"/>
  <c r="H57" i="1"/>
  <c r="I57" i="1"/>
  <c r="J57" i="1"/>
  <c r="K57" i="1"/>
  <c r="L57" i="1"/>
  <c r="M57" i="1"/>
  <c r="N57" i="1"/>
  <c r="O57" i="1"/>
  <c r="P57" i="1"/>
  <c r="Q57" i="1"/>
  <c r="R57" i="1"/>
  <c r="S57" i="1"/>
  <c r="T57" i="1"/>
  <c r="U57" i="1"/>
  <c r="V57" i="1"/>
  <c r="E129" i="1" l="1"/>
  <c r="F129" i="1"/>
  <c r="G129" i="1"/>
  <c r="H129" i="1"/>
  <c r="I129" i="1"/>
  <c r="J129" i="1"/>
  <c r="K129" i="1"/>
  <c r="L129" i="1"/>
  <c r="M129" i="1"/>
  <c r="N129" i="1"/>
  <c r="O129" i="1"/>
  <c r="P129" i="1"/>
  <c r="Q129" i="1"/>
  <c r="R129" i="1"/>
  <c r="S129" i="1"/>
  <c r="T129" i="1"/>
  <c r="U129" i="1"/>
  <c r="V129" i="1"/>
  <c r="D129" i="1"/>
  <c r="E125" i="1"/>
  <c r="F125" i="1"/>
  <c r="G125" i="1"/>
  <c r="H125" i="1"/>
  <c r="I125" i="1"/>
  <c r="J125" i="1"/>
  <c r="K125" i="1"/>
  <c r="L125" i="1"/>
  <c r="M125" i="1"/>
  <c r="N125" i="1"/>
  <c r="O125" i="1"/>
  <c r="P125" i="1"/>
  <c r="Q125" i="1"/>
  <c r="R125" i="1"/>
  <c r="S125" i="1"/>
  <c r="T125" i="1"/>
  <c r="U125" i="1"/>
  <c r="V125" i="1"/>
  <c r="D125" i="1"/>
  <c r="E102" i="1"/>
  <c r="F102" i="1"/>
  <c r="G102" i="1"/>
  <c r="H102" i="1"/>
  <c r="I102" i="1"/>
  <c r="J102" i="1"/>
  <c r="K102" i="1"/>
  <c r="L102" i="1"/>
  <c r="M102" i="1"/>
  <c r="N102" i="1"/>
  <c r="O102" i="1"/>
  <c r="P102" i="1"/>
  <c r="Q102" i="1"/>
  <c r="R102" i="1"/>
  <c r="S102" i="1"/>
  <c r="T102" i="1"/>
  <c r="U102" i="1"/>
  <c r="V102" i="1"/>
  <c r="D102" i="1"/>
  <c r="I98" i="1"/>
  <c r="J98" i="1"/>
  <c r="K98" i="1"/>
  <c r="L98" i="1"/>
  <c r="M98" i="1"/>
  <c r="N98" i="1"/>
  <c r="O98" i="1"/>
  <c r="P98" i="1"/>
  <c r="Q98" i="1"/>
  <c r="R98" i="1"/>
  <c r="S98" i="1"/>
  <c r="T98" i="1"/>
  <c r="U98" i="1"/>
  <c r="V98" i="1"/>
  <c r="E98" i="1"/>
  <c r="F98" i="1"/>
  <c r="G98" i="1"/>
  <c r="H98" i="1"/>
  <c r="D98" i="1"/>
  <c r="D18" i="41" l="1"/>
  <c r="D26" i="41" l="1"/>
  <c r="C44" i="29"/>
  <c r="D37" i="29" l="1"/>
  <c r="D36" i="29"/>
</calcChain>
</file>

<file path=xl/sharedStrings.xml><?xml version="1.0" encoding="utf-8"?>
<sst xmlns="http://schemas.openxmlformats.org/spreadsheetml/2006/main" count="2079" uniqueCount="787">
  <si>
    <t>1998</t>
  </si>
  <si>
    <t>1999</t>
  </si>
  <si>
    <t>2000</t>
  </si>
  <si>
    <t>2001</t>
  </si>
  <si>
    <t>2002</t>
  </si>
  <si>
    <t>2003</t>
  </si>
  <si>
    <t>2004</t>
  </si>
  <si>
    <t>2005</t>
  </si>
  <si>
    <t>2006</t>
  </si>
  <si>
    <t>2007</t>
  </si>
  <si>
    <t>2008</t>
  </si>
  <si>
    <t>2009</t>
  </si>
  <si>
    <t>2010</t>
  </si>
  <si>
    <t>2011</t>
  </si>
  <si>
    <t>2012</t>
  </si>
  <si>
    <t>2013</t>
  </si>
  <si>
    <t>2014</t>
  </si>
  <si>
    <t>2015</t>
  </si>
  <si>
    <t>2016</t>
  </si>
  <si>
    <t>P5IM</t>
  </si>
  <si>
    <t>P48U</t>
  </si>
  <si>
    <t>P47K</t>
  </si>
  <si>
    <t>P5HC</t>
  </si>
  <si>
    <t>P3JO</t>
  </si>
  <si>
    <t>P4TG</t>
  </si>
  <si>
    <t>Balance in EU Pharma</t>
  </si>
  <si>
    <t>Balance in Non EU Pharama</t>
  </si>
  <si>
    <t>P48E</t>
  </si>
  <si>
    <t>P3KI</t>
  </si>
  <si>
    <t>P5I6</t>
  </si>
  <si>
    <t>P4UA</t>
  </si>
  <si>
    <t xml:space="preserve">Balance </t>
  </si>
  <si>
    <t>P48N</t>
  </si>
  <si>
    <t>P3KR</t>
  </si>
  <si>
    <t>Balance</t>
  </si>
  <si>
    <t>P5IF</t>
  </si>
  <si>
    <t>P4UJ</t>
  </si>
  <si>
    <t>P3KY</t>
  </si>
  <si>
    <t>P4UQ</t>
  </si>
  <si>
    <t>P493</t>
  </si>
  <si>
    <t>P3L7</t>
  </si>
  <si>
    <t>P5IT</t>
  </si>
  <si>
    <t>P4UX</t>
  </si>
  <si>
    <t>EU Exports</t>
  </si>
  <si>
    <t>EU Imports</t>
  </si>
  <si>
    <t>Non-EU Exports</t>
  </si>
  <si>
    <t>EU Balance</t>
  </si>
  <si>
    <t>Non-EU Balance</t>
  </si>
  <si>
    <t>Year</t>
  </si>
  <si>
    <t>Exports to EU  28 Machinery &amp; equipment n.e.c.</t>
  </si>
  <si>
    <t>Exports to EU  29.1 Motor vehicles</t>
  </si>
  <si>
    <t>Imports from EU 29.1 Motor vehicles</t>
  </si>
  <si>
    <t>Exports to Non-EU</t>
  </si>
  <si>
    <t>Imports from Non-EU  29.1 Motor vehicles</t>
  </si>
  <si>
    <t>Imports from EU 28 Machinery &amp; equipment n.e.c.</t>
  </si>
  <si>
    <t xml:space="preserve">Imports from Non-EU </t>
  </si>
  <si>
    <t xml:space="preserve"> Exports to EU </t>
  </si>
  <si>
    <t>EU Balance Balance</t>
  </si>
  <si>
    <t>Imports from EU</t>
  </si>
  <si>
    <t>Imports from Non-EU</t>
  </si>
  <si>
    <t>Exports to EU</t>
  </si>
  <si>
    <t>Imports From EU</t>
  </si>
  <si>
    <t xml:space="preserve">Exports to Non-EU </t>
  </si>
  <si>
    <t>Total Exports</t>
  </si>
  <si>
    <t>Non-EU</t>
  </si>
  <si>
    <t xml:space="preserve"> EU</t>
  </si>
  <si>
    <r>
      <t xml:space="preserve">EU Exports </t>
    </r>
    <r>
      <rPr>
        <sz val="10"/>
        <rFont val="Arial"/>
        <family val="2"/>
      </rPr>
      <t>(</t>
    </r>
    <r>
      <rPr>
        <sz val="10"/>
        <rFont val="Calibri"/>
        <family val="2"/>
      </rPr>
      <t>£ million)</t>
    </r>
  </si>
  <si>
    <r>
      <t xml:space="preserve">EU Imports </t>
    </r>
    <r>
      <rPr>
        <sz val="10"/>
        <rFont val="Arial"/>
        <family val="2"/>
      </rPr>
      <t>(£ million)</t>
    </r>
  </si>
  <si>
    <r>
      <t xml:space="preserve">Non-EU Exports </t>
    </r>
    <r>
      <rPr>
        <sz val="10"/>
        <rFont val="Arial"/>
        <family val="2"/>
      </rPr>
      <t>(£ million)</t>
    </r>
  </si>
  <si>
    <r>
      <t xml:space="preserve">Non-EU Imports </t>
    </r>
    <r>
      <rPr>
        <sz val="10"/>
        <rFont val="Arial"/>
        <family val="2"/>
      </rPr>
      <t>(£ million)</t>
    </r>
  </si>
  <si>
    <t>EU Average Exports</t>
  </si>
  <si>
    <t xml:space="preserve">EU Average Imports </t>
  </si>
  <si>
    <t xml:space="preserve">Non-EU Average Exports </t>
  </si>
  <si>
    <t xml:space="preserve">Non-EU Average Imports  </t>
  </si>
  <si>
    <t>Growth %</t>
  </si>
  <si>
    <t>P496</t>
  </si>
  <si>
    <t>P3LA</t>
  </si>
  <si>
    <t>P5IW</t>
  </si>
  <si>
    <t>P4V2</t>
  </si>
  <si>
    <t>P2U5</t>
  </si>
  <si>
    <t>P45V</t>
  </si>
  <si>
    <t>P3HZ</t>
  </si>
  <si>
    <t>P5FN</t>
  </si>
  <si>
    <t>P4RR</t>
  </si>
  <si>
    <t xml:space="preserve">Exports </t>
  </si>
  <si>
    <t>P289</t>
  </si>
  <si>
    <t>Imports</t>
  </si>
  <si>
    <t>All Manufacturing</t>
  </si>
  <si>
    <t>Other</t>
  </si>
  <si>
    <t>UK</t>
  </si>
  <si>
    <t>Germany</t>
  </si>
  <si>
    <t>France</t>
  </si>
  <si>
    <t xml:space="preserve">Italy </t>
  </si>
  <si>
    <t>Spain</t>
  </si>
  <si>
    <t>Code</t>
  </si>
  <si>
    <t xml:space="preserve"> Non-EU</t>
  </si>
  <si>
    <t>Exports</t>
  </si>
  <si>
    <t>Non-EU Imports</t>
  </si>
  <si>
    <t>P476</t>
  </si>
  <si>
    <t>P3JA</t>
  </si>
  <si>
    <t>P5GW</t>
  </si>
  <si>
    <t>P4T2</t>
  </si>
  <si>
    <t>c</t>
  </si>
  <si>
    <t>Total manufactured goods</t>
  </si>
  <si>
    <t>P2TE</t>
  </si>
  <si>
    <t>P2TF</t>
  </si>
  <si>
    <t>P2TQ</t>
  </si>
  <si>
    <t>P2XV</t>
  </si>
  <si>
    <t>P2XZ</t>
  </si>
  <si>
    <t>P2Y8</t>
  </si>
  <si>
    <t>P2YK</t>
  </si>
  <si>
    <t>P2YP</t>
  </si>
  <si>
    <t>TOTAL EXPORTS</t>
  </si>
  <si>
    <t>Top 7 Manufacturing Categories</t>
  </si>
  <si>
    <t>1. Motor Vehicles</t>
  </si>
  <si>
    <t>4. Pharmaceuticals</t>
  </si>
  <si>
    <t>5. Chemicals</t>
  </si>
  <si>
    <t>6. Computers, electronic &amp; optical products</t>
  </si>
  <si>
    <t>All Current prices, seasonally adjusted, in millions of pounds</t>
  </si>
  <si>
    <t>Products of agriculture, forestry &amp; fishing</t>
  </si>
  <si>
    <t>Mining &amp; quarrying</t>
  </si>
  <si>
    <t>Manufactured products</t>
  </si>
  <si>
    <t>Electricity, gas, steam &amp; air conditioning</t>
  </si>
  <si>
    <t>Water supply, sewerage &amp; waste management</t>
  </si>
  <si>
    <t>Information &amp; communication services</t>
  </si>
  <si>
    <t>Arts, entertainment &amp; recreation</t>
  </si>
  <si>
    <t>Other services</t>
  </si>
  <si>
    <t xml:space="preserve"> 2016 (bn)</t>
  </si>
  <si>
    <t xml:space="preserve">1998 (bn) </t>
  </si>
  <si>
    <t>Value (bn)</t>
  </si>
  <si>
    <t>3. Machinery</t>
  </si>
  <si>
    <t xml:space="preserve">2. Non-Motor Vehicles: Other Transport Equipment </t>
  </si>
  <si>
    <t>2014-2016 £bn</t>
  </si>
  <si>
    <t xml:space="preserve">Non-EU </t>
  </si>
  <si>
    <t>Suspected Errata.</t>
  </si>
  <si>
    <t>This is a rogue figure. Adding the components for this category, the number is  20445</t>
  </si>
  <si>
    <t xml:space="preserve">UK Office for National Statistics </t>
  </si>
  <si>
    <t>EU</t>
  </si>
  <si>
    <t>Travel</t>
  </si>
  <si>
    <t>Insurance and pension</t>
  </si>
  <si>
    <t>Construction</t>
  </si>
  <si>
    <t>P27I</t>
  </si>
  <si>
    <t>TOTAL IMPORTS</t>
  </si>
  <si>
    <t>UK Good Exports 1998 to 2016</t>
  </si>
  <si>
    <t>£ billion</t>
  </si>
  <si>
    <t>Comparison of Trade in Goods &amp; Services</t>
  </si>
  <si>
    <t>Trade in Goods</t>
  </si>
  <si>
    <t>Trade in Services</t>
  </si>
  <si>
    <t>Total Trade</t>
  </si>
  <si>
    <t>Export of Goods</t>
  </si>
  <si>
    <t>Export of Services</t>
  </si>
  <si>
    <t xml:space="preserve"> </t>
  </si>
  <si>
    <t xml:space="preserve">  </t>
  </si>
  <si>
    <t>UK Trade in Goods &amp; Services</t>
  </si>
  <si>
    <t xml:space="preserve">Total Trade in Goods </t>
  </si>
  <si>
    <t xml:space="preserve">Total Trade in Services </t>
  </si>
  <si>
    <t xml:space="preserve">Export of Goods </t>
  </si>
  <si>
    <t xml:space="preserve">Export of Services </t>
  </si>
  <si>
    <t>Deficit</t>
  </si>
  <si>
    <t>Surplus</t>
  </si>
  <si>
    <t>Comparison of Exports in Goods &amp; Services</t>
  </si>
  <si>
    <t>P456</t>
  </si>
  <si>
    <t>P3HA</t>
  </si>
  <si>
    <t>UK - non-EU Trade</t>
  </si>
  <si>
    <t>UK - EU Trade</t>
  </si>
  <si>
    <t>Total goods exports to EU</t>
  </si>
  <si>
    <t>Total goods imports from EU</t>
  </si>
  <si>
    <t>P5EW</t>
  </si>
  <si>
    <t>P4R2</t>
  </si>
  <si>
    <t xml:space="preserve">Total goods exports to Non-EU </t>
  </si>
  <si>
    <t>Total goods imports from Non-EU</t>
  </si>
  <si>
    <t>Goods Export/ Categories</t>
  </si>
  <si>
    <t>Section 2. Manufacturing data</t>
  </si>
  <si>
    <t>Section 1. Goods data</t>
  </si>
  <si>
    <t xml:space="preserve">Total </t>
  </si>
  <si>
    <t>Growth in trade data</t>
  </si>
  <si>
    <t>1) Growth in exports</t>
  </si>
  <si>
    <t>2) Balance of Trade</t>
  </si>
  <si>
    <t xml:space="preserve">UK Trade in Goods </t>
  </si>
  <si>
    <t xml:space="preserve">5. Chemicals </t>
  </si>
  <si>
    <t>UK Manufacturing Trade Data: 1998 to 2016</t>
  </si>
  <si>
    <t>Growth in UK Trade: EU &amp; non-EU</t>
  </si>
  <si>
    <t>Average Eurozone Growth Rate 1995 to 2017</t>
  </si>
  <si>
    <t>Source</t>
  </si>
  <si>
    <r>
      <t>Compound Annual Growth 1998</t>
    </r>
    <r>
      <rPr>
        <b/>
        <sz val="11"/>
        <color theme="1"/>
        <rFont val="Calibri"/>
        <family val="2"/>
      </rPr>
      <t>–2016</t>
    </r>
  </si>
  <si>
    <t>Change in EU's share of UK Trade in Goods</t>
  </si>
  <si>
    <r>
      <t>UK - EU Trade (</t>
    </r>
    <r>
      <rPr>
        <b/>
        <sz val="10"/>
        <rFont val="Calibri"/>
        <family val="2"/>
      </rPr>
      <t>£m)</t>
    </r>
  </si>
  <si>
    <r>
      <t>UK - non-EU Trade (</t>
    </r>
    <r>
      <rPr>
        <b/>
        <sz val="10"/>
        <rFont val="Calibri"/>
        <family val="2"/>
      </rPr>
      <t>£</t>
    </r>
    <r>
      <rPr>
        <b/>
        <sz val="9"/>
        <rFont val="Arial"/>
        <family val="2"/>
      </rPr>
      <t>m)</t>
    </r>
  </si>
  <si>
    <t>Total for UK Goods Exports</t>
  </si>
  <si>
    <t>Composition of UK Goods Exports</t>
  </si>
  <si>
    <r>
      <t xml:space="preserve">1998-2000   </t>
    </r>
    <r>
      <rPr>
        <b/>
        <sz val="11"/>
        <color theme="1"/>
        <rFont val="Calibri"/>
        <family val="2"/>
      </rPr>
      <t>£bn</t>
    </r>
  </si>
  <si>
    <r>
      <t xml:space="preserve">Growth </t>
    </r>
    <r>
      <rPr>
        <b/>
        <sz val="11"/>
        <color theme="1"/>
        <rFont val="Calibri"/>
        <family val="2"/>
      </rPr>
      <t>£bn</t>
    </r>
  </si>
  <si>
    <t>Top 5 Sectors</t>
  </si>
  <si>
    <t>Percentage of exports</t>
  </si>
  <si>
    <t>Export Categories in UK Trade (£ bn)</t>
  </si>
  <si>
    <t>Manufacturing as a % of UK's goods exports</t>
  </si>
  <si>
    <r>
      <t xml:space="preserve">Overall Growth of UK Manufacutring Trade:      1998 </t>
    </r>
    <r>
      <rPr>
        <b/>
        <sz val="11"/>
        <color theme="1"/>
        <rFont val="Calibri"/>
        <family val="2"/>
      </rPr>
      <t>–</t>
    </r>
    <r>
      <rPr>
        <b/>
        <sz val="11"/>
        <color theme="1"/>
        <rFont val="Calibri"/>
        <family val="2"/>
        <scheme val="minor"/>
      </rPr>
      <t xml:space="preserve"> 2016</t>
    </r>
  </si>
  <si>
    <t>Total</t>
  </si>
  <si>
    <t>2. Transport</t>
  </si>
  <si>
    <t>CAGR             1998-2016</t>
  </si>
  <si>
    <r>
      <t>Goods exports to EU (</t>
    </r>
    <r>
      <rPr>
        <b/>
        <sz val="10"/>
        <rFont val="Calibri"/>
        <family val="2"/>
      </rPr>
      <t xml:space="preserve">£ </t>
    </r>
    <r>
      <rPr>
        <b/>
        <sz val="10"/>
        <rFont val="Arial"/>
        <family val="2"/>
      </rPr>
      <t>billion)</t>
    </r>
  </si>
  <si>
    <r>
      <t>Goods exports to Non-EU (</t>
    </r>
    <r>
      <rPr>
        <b/>
        <sz val="10"/>
        <rFont val="Calibri"/>
        <family val="2"/>
      </rPr>
      <t>£</t>
    </r>
    <r>
      <rPr>
        <b/>
        <sz val="10"/>
        <rFont val="Arial"/>
        <family val="2"/>
      </rPr>
      <t xml:space="preserve"> billion)</t>
    </r>
  </si>
  <si>
    <r>
      <t xml:space="preserve">1998-2000    </t>
    </r>
    <r>
      <rPr>
        <b/>
        <sz val="11"/>
        <color theme="1"/>
        <rFont val="Calibri"/>
        <family val="2"/>
      </rPr>
      <t>£bn</t>
    </r>
  </si>
  <si>
    <r>
      <t>UK - non-EU Trade (</t>
    </r>
    <r>
      <rPr>
        <b/>
        <sz val="10"/>
        <rFont val="Calibri"/>
        <family val="2"/>
      </rPr>
      <t>£ billion</t>
    </r>
    <r>
      <rPr>
        <b/>
        <sz val="9"/>
        <rFont val="Arial"/>
        <family val="2"/>
      </rPr>
      <t>)</t>
    </r>
  </si>
  <si>
    <r>
      <t>UK - EU Trade (</t>
    </r>
    <r>
      <rPr>
        <b/>
        <sz val="10"/>
        <rFont val="Calibri"/>
        <family val="2"/>
      </rPr>
      <t>£ billion)</t>
    </r>
  </si>
  <si>
    <t>Source Data</t>
  </si>
  <si>
    <r>
      <t xml:space="preserve">EU Exports </t>
    </r>
    <r>
      <rPr>
        <sz val="10"/>
        <rFont val="Arial"/>
        <family val="2"/>
      </rPr>
      <t>(</t>
    </r>
    <r>
      <rPr>
        <sz val="10"/>
        <rFont val="Calibri"/>
        <family val="2"/>
      </rPr>
      <t>£</t>
    </r>
    <r>
      <rPr>
        <sz val="10"/>
        <rFont val="Arial"/>
        <family val="2"/>
      </rPr>
      <t xml:space="preserve"> billion</t>
    </r>
    <r>
      <rPr>
        <sz val="10"/>
        <rFont val="Calibri"/>
        <family val="2"/>
      </rPr>
      <t>)</t>
    </r>
  </si>
  <si>
    <r>
      <t>EU Imports</t>
    </r>
    <r>
      <rPr>
        <sz val="10"/>
        <rFont val="Arial"/>
        <family val="2"/>
      </rPr>
      <t xml:space="preserve"> (</t>
    </r>
    <r>
      <rPr>
        <sz val="10"/>
        <rFont val="Calibri"/>
        <family val="2"/>
      </rPr>
      <t>£</t>
    </r>
    <r>
      <rPr>
        <sz val="10"/>
        <rFont val="Arial"/>
        <family val="2"/>
      </rPr>
      <t xml:space="preserve"> billion)</t>
    </r>
  </si>
  <si>
    <r>
      <t xml:space="preserve">Non-EU Exports </t>
    </r>
    <r>
      <rPr>
        <sz val="10"/>
        <rFont val="Arial"/>
        <family val="2"/>
      </rPr>
      <t>(£ billion)</t>
    </r>
  </si>
  <si>
    <r>
      <t xml:space="preserve">Non-EU Imports </t>
    </r>
    <r>
      <rPr>
        <sz val="10"/>
        <rFont val="Arial"/>
        <family val="2"/>
      </rPr>
      <t>(£ billion)</t>
    </r>
  </si>
  <si>
    <t>Destination for exports</t>
  </si>
  <si>
    <t>Source of imports</t>
  </si>
  <si>
    <t>6. Computers, electronics etc.</t>
  </si>
  <si>
    <t>6. Computers, electronics, etc.</t>
  </si>
  <si>
    <r>
      <t>Goods balance (</t>
    </r>
    <r>
      <rPr>
        <sz val="11"/>
        <color theme="1"/>
        <rFont val="Calibri"/>
        <family val="2"/>
      </rPr>
      <t>£bn)</t>
    </r>
  </si>
  <si>
    <t>Services balance (£bn)</t>
  </si>
  <si>
    <t>UK Exports: 2016</t>
  </si>
  <si>
    <t>UK Balances: 2016</t>
  </si>
  <si>
    <t xml:space="preserve">Average Exports 1998-2000 </t>
  </si>
  <si>
    <t xml:space="preserve">Average Imports 1998-2000 </t>
  </si>
  <si>
    <t>Section 4: Evolution of EU versus Non-EU trade, 1998 - 2016</t>
  </si>
  <si>
    <r>
      <t>Growth in UK Trade: EU &amp; non-EU (</t>
    </r>
    <r>
      <rPr>
        <b/>
        <sz val="11"/>
        <color theme="1"/>
        <rFont val="Calibri"/>
        <family val="2"/>
      </rPr>
      <t>£ bn)</t>
    </r>
  </si>
  <si>
    <t>Additional Data</t>
  </si>
  <si>
    <t>Long-Term Economic Growth Rates</t>
  </si>
  <si>
    <t>Trading Economics</t>
  </si>
  <si>
    <t>Total Exports     £ bn</t>
  </si>
  <si>
    <r>
      <t xml:space="preserve">Total Trade      </t>
    </r>
    <r>
      <rPr>
        <b/>
        <sz val="11"/>
        <color theme="1"/>
        <rFont val="Calibri"/>
        <family val="2"/>
      </rPr>
      <t>£ bn</t>
    </r>
  </si>
  <si>
    <t/>
  </si>
  <si>
    <t>Notes</t>
  </si>
  <si>
    <t>Unit</t>
  </si>
  <si>
    <t>£ billion, seasonally adjusted</t>
  </si>
  <si>
    <t>Period</t>
  </si>
  <si>
    <t>2007 Q1</t>
  </si>
  <si>
    <t>21.973</t>
  </si>
  <si>
    <t>33.87</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</si>
  <si>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</si>
  <si>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</si>
  <si>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</si>
  <si>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</si>
  <si>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</si>
  <si>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</si>
  <si>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</si>
  <si>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</si>
  <si>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</si>
  <si>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</si>
  <si>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</si>
  <si>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</si>
  <si>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</si>
  <si>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</si>
  <si>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</si>
  <si>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</si>
  <si>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</si>
  <si>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</si>
  <si>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</si>
  <si>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</si>
  <si>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</si>
  <si>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</si>
  <si>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</si>
  <si>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</si>
  <si>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</si>
  <si>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</si>
  <si>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</si>
  <si>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</si>
  <si>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</si>
  <si>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</si>
  <si>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</si>
  <si>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</si>
  <si>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</si>
  <si>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</si>
  <si>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</si>
  <si>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</si>
  <si>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</si>
  <si>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</si>
  <si>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</si>
  <si>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Supplementary Data</t>
  </si>
  <si>
    <t>Link</t>
  </si>
  <si>
    <t xml:space="preserve">Source: ONS 2016 data*. Original Data sheets included at final tabs </t>
  </si>
  <si>
    <t>*Note</t>
  </si>
  <si>
    <t>The single data file from which all trade-in-goods data is compiled was archive by ONS during larte 2017, and is no longer directly accessible. A copy of these original files as published by ONS is included in the final tabs of this Excel spreadsheet.</t>
  </si>
  <si>
    <t>Source: Eurostat</t>
  </si>
  <si>
    <t>Quarterly (%)</t>
  </si>
  <si>
    <t>Annual (%)</t>
  </si>
  <si>
    <t>/</t>
  </si>
  <si>
    <t>Average UK Growth Rate 1956 to 2017</t>
  </si>
  <si>
    <t>% Export/Import Ratios for major EU economies</t>
  </si>
  <si>
    <t>Section 5. Comparison of UK intra-EU trade performance with other EU economies</t>
  </si>
  <si>
    <t>3.2 Change in UK trade partnership with EU for manufactured goods</t>
  </si>
  <si>
    <t>3.1 Long-term growth in UK  manufacturing trade with EU and non-EU countries</t>
  </si>
  <si>
    <r>
      <t>Section 4. Evolution of UK's trade in manufacturing with EU and non-EU countries: 1998</t>
    </r>
    <r>
      <rPr>
        <b/>
        <sz val="14"/>
        <color theme="1"/>
        <rFont val="Calibri"/>
        <family val="2"/>
      </rPr>
      <t>–2016</t>
    </r>
  </si>
  <si>
    <t>Manufacturing exports to EU (£ billion)</t>
  </si>
  <si>
    <t>Manufacturing exports to non-EU (£ billion)</t>
  </si>
  <si>
    <t xml:space="preserve">Section3. Growth in EU, non-EU trade in manufactured goods: 1998 – 2016
</t>
  </si>
  <si>
    <t>Compound Annual Growth Rates (CAGR)</t>
  </si>
  <si>
    <t xml:space="preserve">Change in composition </t>
  </si>
  <si>
    <t>Section 5. UK manufacturing trade data: 1998 to 2016 (ONS)</t>
  </si>
  <si>
    <t xml:space="preserve">1. Motor vehicles </t>
  </si>
  <si>
    <t>Section 1: UK goods exports &amp; prominence of manufactured goods</t>
  </si>
  <si>
    <t>% total of goods exports</t>
  </si>
  <si>
    <t>% total of manufacture exports</t>
  </si>
  <si>
    <t>% of total of manufacture exports</t>
  </si>
  <si>
    <t>3.3 Calculation of annual growth</t>
  </si>
  <si>
    <t>10 Food products</t>
  </si>
  <si>
    <t>P45W</t>
  </si>
  <si>
    <t>P3I2</t>
  </si>
  <si>
    <t>P5FO</t>
  </si>
  <si>
    <t>P4RS</t>
  </si>
  <si>
    <t>Exports to non-EU</t>
  </si>
  <si>
    <t>Imports from non-EU</t>
  </si>
  <si>
    <t>7. Basic metals</t>
  </si>
  <si>
    <t>9. Electrical</t>
  </si>
  <si>
    <t>10. Beverages</t>
  </si>
  <si>
    <t>8. Food products</t>
  </si>
  <si>
    <t>P47Z</t>
  </si>
  <si>
    <t>P3K5</t>
  </si>
  <si>
    <t>P5HR</t>
  </si>
  <si>
    <t>P4TV</t>
  </si>
  <si>
    <t>8. Food Products</t>
  </si>
  <si>
    <t>9. Electrical Equipment</t>
  </si>
  <si>
    <t>P468</t>
  </si>
  <si>
    <t>P3IC</t>
  </si>
  <si>
    <t>P5FY</t>
  </si>
  <si>
    <t>P4S4</t>
  </si>
  <si>
    <t>Top 10 Sectors</t>
  </si>
  <si>
    <r>
      <rPr>
        <b/>
        <sz val="11"/>
        <color theme="1"/>
        <rFont val="Calibri"/>
        <family val="2"/>
        <scheme val="minor"/>
      </rPr>
      <t>Note 1:</t>
    </r>
    <r>
      <rPr>
        <sz val="11"/>
        <color theme="1"/>
        <rFont val="Calibri"/>
        <family val="2"/>
        <scheme val="minor"/>
      </rPr>
      <t xml:space="preserve"> The top five categories of UK exports analysed here comprise 50% of all UK goods exports, up from 41% two decades ago. The top ten categories increase the coverage to 73% of all UK goods exports.  </t>
    </r>
  </si>
  <si>
    <r>
      <rPr>
        <b/>
        <sz val="11"/>
        <color theme="1"/>
        <rFont val="Calibri"/>
        <family val="2"/>
        <scheme val="minor"/>
      </rPr>
      <t>Note 2.</t>
    </r>
    <r>
      <rPr>
        <sz val="11"/>
        <color theme="1"/>
        <rFont val="Calibri"/>
        <family val="2"/>
        <scheme val="minor"/>
      </rPr>
      <t xml:space="preserve"> The biggest change in the distribution of UK exports from 1998 to 2016 is the collapse of UK exports of computers, electronics, etc. to the EU since 2002 (from </t>
    </r>
    <r>
      <rPr>
        <sz val="11"/>
        <color theme="1"/>
        <rFont val="Calibri"/>
        <family val="2"/>
      </rPr>
      <t xml:space="preserve">£27 billion to £12). The biggest sector gain is the growth in export of transport equiment (which is almost entirely aerospace products) followed by the growth in export in motor vehicles, then pharmaceuticals. </t>
    </r>
  </si>
  <si>
    <t>Services exports to EU (£ billion)</t>
  </si>
  <si>
    <t>Services exports to non-EU (£ billion)</t>
  </si>
  <si>
    <t>Manufacturing Services</t>
  </si>
  <si>
    <t>Transportation</t>
  </si>
  <si>
    <t>Maintenance Services</t>
  </si>
  <si>
    <t>Financial services</t>
  </si>
  <si>
    <t>Other business services</t>
  </si>
  <si>
    <t>World</t>
  </si>
  <si>
    <t>Telecomunications, computers and IT</t>
  </si>
  <si>
    <t>Personal Cultural and Recreational</t>
  </si>
  <si>
    <t>Intellectual property</t>
  </si>
  <si>
    <t>Export Categories in UK Services (£ bn)</t>
  </si>
  <si>
    <t>*</t>
  </si>
  <si>
    <t>Government Services</t>
  </si>
  <si>
    <t>Total for UK Services Exports</t>
  </si>
  <si>
    <t>Total EU Imports  £ bn</t>
  </si>
  <si>
    <t>Total non-EU Imports  £ bn</t>
  </si>
  <si>
    <r>
      <t>Comparison of exports (</t>
    </r>
    <r>
      <rPr>
        <b/>
        <sz val="11"/>
        <color theme="1"/>
        <rFont val="Calibri"/>
        <family val="2"/>
      </rPr>
      <t>£</t>
    </r>
    <r>
      <rPr>
        <b/>
        <sz val="9.9"/>
        <color theme="1"/>
        <rFont val="Calibri"/>
        <family val="2"/>
      </rPr>
      <t xml:space="preserve"> billion)</t>
    </r>
  </si>
  <si>
    <t>Other business services to non-EU</t>
  </si>
  <si>
    <t>Remainder</t>
  </si>
  <si>
    <t>Financial services to non-EU</t>
  </si>
  <si>
    <t>Financial services to EU</t>
  </si>
  <si>
    <t>Other business services to EU</t>
  </si>
  <si>
    <t>Transportation to non-EU</t>
  </si>
  <si>
    <t>Travel to non-EU</t>
  </si>
  <si>
    <t>Insurance and pensions to non-EU</t>
  </si>
  <si>
    <t>Total EU Exports  £ bn</t>
  </si>
  <si>
    <t>Total non-EU Exports  £ bn</t>
  </si>
  <si>
    <t>EU Trade in Services: 2016</t>
  </si>
  <si>
    <t>Non-EU Trade in Services: 2016</t>
  </si>
  <si>
    <t xml:space="preserve">Total for UK Services </t>
  </si>
  <si>
    <t xml:space="preserve"> Trade in services by type of service 2016</t>
  </si>
  <si>
    <t xml:space="preserve"> £ million</t>
  </si>
  <si>
    <t>Telecom-</t>
  </si>
  <si>
    <t>municati-</t>
  </si>
  <si>
    <t>ons, com-</t>
  </si>
  <si>
    <t xml:space="preserve"> Personal,</t>
  </si>
  <si>
    <t>puter and</t>
  </si>
  <si>
    <t xml:space="preserve"> Other</t>
  </si>
  <si>
    <t xml:space="preserve"> cultural</t>
  </si>
  <si>
    <t>Manufac-</t>
  </si>
  <si>
    <t>Mainten-</t>
  </si>
  <si>
    <t xml:space="preserve"> Trans-</t>
  </si>
  <si>
    <t xml:space="preserve"> Insu-</t>
  </si>
  <si>
    <t>Intellect-</t>
  </si>
  <si>
    <t>informat-</t>
  </si>
  <si>
    <t xml:space="preserve"> busi-</t>
  </si>
  <si>
    <t xml:space="preserve"> and</t>
  </si>
  <si>
    <t>turing</t>
  </si>
  <si>
    <t xml:space="preserve">ance and </t>
  </si>
  <si>
    <t xml:space="preserve"> port-</t>
  </si>
  <si>
    <t xml:space="preserve"> Cons-</t>
  </si>
  <si>
    <t xml:space="preserve"> rance &amp;</t>
  </si>
  <si>
    <t xml:space="preserve"> Finan-</t>
  </si>
  <si>
    <t xml:space="preserve">ual </t>
  </si>
  <si>
    <t>ion servi-</t>
  </si>
  <si>
    <t xml:space="preserve"> ness</t>
  </si>
  <si>
    <t xml:space="preserve"> recrea-</t>
  </si>
  <si>
    <t xml:space="preserve"> Govern-</t>
  </si>
  <si>
    <t xml:space="preserve"> Total</t>
  </si>
  <si>
    <t>services</t>
  </si>
  <si>
    <t>repair</t>
  </si>
  <si>
    <t xml:space="preserve"> ation</t>
  </si>
  <si>
    <t xml:space="preserve"> truction</t>
  </si>
  <si>
    <t>Pension</t>
  </si>
  <si>
    <t xml:space="preserve"> cial</t>
  </si>
  <si>
    <t>Property</t>
  </si>
  <si>
    <t>ces</t>
  </si>
  <si>
    <t xml:space="preserve"> services</t>
  </si>
  <si>
    <t xml:space="preserve"> tional</t>
  </si>
  <si>
    <t xml:space="preserve"> ment</t>
  </si>
  <si>
    <t>European Union (EU28) total</t>
  </si>
  <si>
    <t>..</t>
  </si>
  <si>
    <t>Belgium</t>
  </si>
  <si>
    <t>Luxembourg</t>
  </si>
  <si>
    <t>Denmark</t>
  </si>
  <si>
    <t>Irish Republic</t>
  </si>
  <si>
    <t>Italy</t>
  </si>
  <si>
    <t>Netherlands</t>
  </si>
  <si>
    <t>Sweden</t>
  </si>
  <si>
    <t>Poland</t>
  </si>
  <si>
    <t>Finland</t>
  </si>
  <si>
    <t>Portugal</t>
  </si>
  <si>
    <t>Greece</t>
  </si>
  <si>
    <t>Austria</t>
  </si>
  <si>
    <t>Czech Republic</t>
  </si>
  <si>
    <t>Estonia</t>
  </si>
  <si>
    <t>Hungary</t>
  </si>
  <si>
    <t>Latvia</t>
  </si>
  <si>
    <t>Slovakia</t>
  </si>
  <si>
    <t>Slovenia</t>
  </si>
  <si>
    <t>Russia</t>
  </si>
  <si>
    <t>Switzerland</t>
  </si>
  <si>
    <t>Turkey</t>
  </si>
  <si>
    <t>Argentina</t>
  </si>
  <si>
    <t>Brazil</t>
  </si>
  <si>
    <t>Canada</t>
  </si>
  <si>
    <t>Chile</t>
  </si>
  <si>
    <t>Mexico</t>
  </si>
  <si>
    <t>USA</t>
  </si>
  <si>
    <t>China</t>
  </si>
  <si>
    <t>Hong Kong</t>
  </si>
  <si>
    <t>India</t>
  </si>
  <si>
    <t>Iran</t>
  </si>
  <si>
    <t>Japan</t>
  </si>
  <si>
    <t>Malaysia</t>
  </si>
  <si>
    <t>Philippines</t>
  </si>
  <si>
    <t>Saudi Arabia</t>
  </si>
  <si>
    <t>Singapore</t>
  </si>
  <si>
    <t>South Korea</t>
  </si>
  <si>
    <t>Taiwan</t>
  </si>
  <si>
    <t>Thailand</t>
  </si>
  <si>
    <t>Australia</t>
  </si>
  <si>
    <t>South Africa</t>
  </si>
  <si>
    <t>Israel</t>
  </si>
  <si>
    <t>Iceland</t>
  </si>
  <si>
    <t>New Zealand</t>
  </si>
  <si>
    <t>Norway</t>
  </si>
  <si>
    <t>World total</t>
  </si>
  <si>
    <t xml:space="preserve"> Symbols used in this table  </t>
  </si>
  <si>
    <t xml:space="preserve">  .. Indicates that data might be disclosive and have therefore  been omitted</t>
  </si>
  <si>
    <t xml:space="preserve">  - Indicates that the data is nil or less than £500,000</t>
  </si>
  <si>
    <t>ONS March 2018</t>
  </si>
  <si>
    <t>Section 2. Relative importance of financial services exports to EU</t>
  </si>
  <si>
    <t xml:space="preserve">* Source data does not attribute, therefore divided 50/50 </t>
  </si>
  <si>
    <t>UK Trade in Manufactured Goods</t>
  </si>
  <si>
    <t xml:space="preserve">Non-Manufacturing Exports </t>
  </si>
  <si>
    <t xml:space="preserve">Total Goods Exports </t>
  </si>
  <si>
    <t xml:space="preserve">Total Manufacturing Exports </t>
  </si>
  <si>
    <t>Other manufactured</t>
  </si>
  <si>
    <t xml:space="preserve">Section 1: UK goods exports </t>
  </si>
  <si>
    <t>Non-Manufactured goods</t>
  </si>
  <si>
    <t>Average Exports 1998-2000 (£bn)</t>
  </si>
  <si>
    <t>Average Exports 2014-2016 (£bn)</t>
  </si>
  <si>
    <r>
      <t xml:space="preserve">2.1 Export Category Share: change in contribution to UK manufacturing &amp; goods exports, 1998 </t>
    </r>
    <r>
      <rPr>
        <b/>
        <sz val="12"/>
        <color theme="1"/>
        <rFont val="Calibri"/>
        <family val="2"/>
      </rPr>
      <t>– 2016</t>
    </r>
  </si>
  <si>
    <t>Percentage</t>
  </si>
  <si>
    <t xml:space="preserve">Total Services Trade </t>
  </si>
  <si>
    <t xml:space="preserve">UK Trade in Services </t>
  </si>
  <si>
    <t>Composition of UK Trade in Services: 2016</t>
  </si>
  <si>
    <t xml:space="preserve">Total Services Exports </t>
  </si>
  <si>
    <t>Section 1: UK services exports 2016</t>
  </si>
  <si>
    <t>Section 5. UK services data: 1999 to 2017 (ONS)</t>
  </si>
  <si>
    <t>Services imports from EU (£ billion)</t>
  </si>
  <si>
    <r>
      <t>Services imports from non-EU</t>
    </r>
    <r>
      <rPr>
        <sz val="10"/>
        <rFont val="Arial"/>
        <family val="2"/>
      </rPr>
      <t>(£ billion)</t>
    </r>
  </si>
  <si>
    <r>
      <t>Section 4. Evolution of UK's trade in services with EU and non-EU countries: 1999</t>
    </r>
    <r>
      <rPr>
        <b/>
        <sz val="14"/>
        <color theme="1"/>
        <rFont val="Calibri"/>
        <family val="2"/>
      </rPr>
      <t>–2016</t>
    </r>
  </si>
  <si>
    <t xml:space="preserve"> Exports  1999-2001 (£bn)</t>
  </si>
  <si>
    <t xml:space="preserve"> Imports  1999-2001 (£bn)</t>
  </si>
  <si>
    <t>Growth in UK exports</t>
  </si>
  <si>
    <t>Goods to EU</t>
  </si>
  <si>
    <t>Growth in UK imports</t>
  </si>
  <si>
    <t>Services from non-EU</t>
  </si>
  <si>
    <t>Services from EU</t>
  </si>
  <si>
    <t>Goods from non-EU</t>
  </si>
  <si>
    <t>Goods from EU</t>
  </si>
  <si>
    <t>Export Categories in UK Manufacturing (£ bn) 2016</t>
  </si>
  <si>
    <t>non-EU</t>
  </si>
  <si>
    <r>
      <t>Categores &lt;</t>
    </r>
    <r>
      <rPr>
        <sz val="8"/>
        <rFont val="Calibri"/>
        <family val="2"/>
      </rPr>
      <t>£100m omitted</t>
    </r>
    <r>
      <rPr>
        <sz val="8"/>
        <rFont val="Calibri"/>
        <family val="2"/>
        <scheme val="minor"/>
      </rPr>
      <t>, e.g., architectural drawings</t>
    </r>
  </si>
  <si>
    <t>Motor vehicles</t>
  </si>
  <si>
    <t>Transport equipmany (inc. aerospace)</t>
  </si>
  <si>
    <t>Machinery</t>
  </si>
  <si>
    <t>Pharmaceuticals</t>
  </si>
  <si>
    <t>Chemicals</t>
  </si>
  <si>
    <t>Other manufactured products</t>
  </si>
  <si>
    <t>Computers, electronics, optical etc.</t>
  </si>
  <si>
    <t>Basic metals</t>
  </si>
  <si>
    <t>Food products</t>
  </si>
  <si>
    <t>Electrical goods</t>
  </si>
  <si>
    <t>Beverages</t>
  </si>
  <si>
    <r>
      <t>Goods (</t>
    </r>
    <r>
      <rPr>
        <sz val="11"/>
        <color theme="1"/>
        <rFont val="Calibri"/>
        <family val="2"/>
      </rPr>
      <t>£bn)</t>
    </r>
  </si>
  <si>
    <r>
      <t>Services (</t>
    </r>
    <r>
      <rPr>
        <sz val="11"/>
        <color theme="1"/>
        <rFont val="Calibri"/>
        <family val="2"/>
      </rPr>
      <t>£bn)*</t>
    </r>
  </si>
  <si>
    <t>Section 1. Comparison of EU &amp; non-EU trade</t>
  </si>
  <si>
    <t>Deflator</t>
  </si>
  <si>
    <t>Multiplier</t>
  </si>
  <si>
    <t>(This table uses non-inflation adjusted prices).</t>
  </si>
  <si>
    <t>Adjusted for inflation</t>
  </si>
  <si>
    <t>Note: This section uses data adjusted for inflation. Hence the higher estimates at the beginning of the time period..Averages calculated from three-year periods at start and end of data run period. See calculation table below.</t>
  </si>
  <si>
    <t>Section 7. Adjustment for Inflation</t>
  </si>
  <si>
    <t>Note: Data not adjusted for inflation</t>
  </si>
  <si>
    <t>Section 2. Most valuable sectors of UK manufacturing trade: 1998 and 2016</t>
  </si>
  <si>
    <t>Note: Some financial services, e.g., banking, are subject to Single Market regulation and passporting rights. Few non-financial services are.</t>
  </si>
  <si>
    <t>Average Imports 1998-2000 (£bn)</t>
  </si>
  <si>
    <t>Average Imports 2014-2016 (£bn)</t>
  </si>
  <si>
    <t>CAGR             1999-2016</t>
  </si>
  <si>
    <t>Personal cultural and recreational</t>
  </si>
  <si>
    <t>Balance of trade in services with EU</t>
  </si>
  <si>
    <t>Section 3. Balance of trade in services</t>
  </si>
  <si>
    <t>Total Imports £ bn</t>
  </si>
  <si>
    <t>4.1 Long-term growth in UK  manufacturing trade with EU and non-EU countries</t>
  </si>
  <si>
    <t>4.2 Change in UK trade partnership with EU for manufactured goods</t>
  </si>
  <si>
    <t>4.3 Calculation of annual growth</t>
  </si>
  <si>
    <r>
      <t xml:space="preserve">1999-2001   </t>
    </r>
    <r>
      <rPr>
        <b/>
        <sz val="11"/>
        <color theme="1"/>
        <rFont val="Calibri"/>
        <family val="2"/>
      </rPr>
      <t>£bn</t>
    </r>
  </si>
  <si>
    <t>Worth £271 billion in 2016, manufacturing contributes 90% of UK goods exports. This exceeds the value of UK's services exports, worth £245 bn in 2016. The UK's top five manufacturing export sectors ‒ motor vehicles, transport (princially aerospace), machinery, pharmaceuticals and chemicals ‒ are increasingly important to UK trade, rising from 41% of UK goods exports in 1998 to 50% in 2016. Growth is almost totally confined to non-EU trade, however. Accounting for inflation, exports to EU countries have remained stagnant or fallen since 1998, while exports to non-EU countries have increased by a steady 3.3% per year. Consequently, UK exports outside the EU ‒ conducted almost entirely on WTO terms ‒ surpassed EU exports in 2012, rising from 39% of total manufacturing exports in 1998 to 53% in 2016. The biggest sectoral change in UK trade since 1998 is that exports of computers and electronics to the EU have collapsed by almost two-thirds. The best performing sector for UK trade with EU is pharmaceuticals; however pharmaceuticals exports to EU stalled in 2012 as production moved to Ireland, and UK now incurs an annual £9.6 billion deficit on this trade (see 'Pharmaceuticals' tab).£</t>
  </si>
  <si>
    <t xml:space="preserve">ONS Cross-check to validate source data. </t>
  </si>
  <si>
    <t>© Phil Radford</t>
  </si>
  <si>
    <t>Import deflator</t>
  </si>
  <si>
    <t>Export deflator</t>
  </si>
  <si>
    <t>Import Multiplier</t>
  </si>
  <si>
    <t>Export Multiplier</t>
  </si>
  <si>
    <t>UK ONS Trade Deflators for Imports and Exports (2015 base prices)</t>
  </si>
  <si>
    <t>ONS Import and Export Trade deflators, 2015 base prices</t>
  </si>
  <si>
    <t xml:space="preserve">This deflator serides is from the ONS and is specifically calculated for trade values. It ascribes a lower level of inflation generally, but especially to imports. It uses 2015 as a base year, which is why 2016 values are lower than in the core data series. </t>
  </si>
  <si>
    <t>UK Treasury Deflators (Not used)</t>
  </si>
  <si>
    <t xml:space="preserve">Exports of Goods and Services </t>
  </si>
  <si>
    <t xml:space="preserve">Imports of Goods and Services </t>
  </si>
  <si>
    <t xml:space="preserve">Exports of Goods </t>
  </si>
  <si>
    <t>Imports of Goods</t>
  </si>
  <si>
    <t>Import of Services</t>
  </si>
  <si>
    <t>Additional Calculations</t>
  </si>
  <si>
    <t>UK Balance of Trade in Goods and Services 2017</t>
  </si>
  <si>
    <t>US-China 2017</t>
  </si>
  <si>
    <t>Services Exports to China</t>
  </si>
  <si>
    <t>Services Imports from China</t>
  </si>
  <si>
    <t>Services Balance with China</t>
  </si>
  <si>
    <t>Congressional Research Services</t>
  </si>
  <si>
    <t>US Goods Exports to China</t>
  </si>
  <si>
    <t>US Goods Imports from China</t>
  </si>
  <si>
    <t>United States Censis</t>
  </si>
  <si>
    <t>US $</t>
  </si>
  <si>
    <r>
      <t xml:space="preserve">At </t>
    </r>
    <r>
      <rPr>
        <sz val="11"/>
        <color theme="1"/>
        <rFont val="Calibri"/>
        <family val="2"/>
      </rPr>
      <t>£</t>
    </r>
    <r>
      <rPr>
        <sz val="9.9"/>
        <color theme="1"/>
        <rFont val="Calibri"/>
        <family val="2"/>
      </rPr>
      <t>1 = $1.35</t>
    </r>
  </si>
  <si>
    <t>2017: UK Trade with EU</t>
  </si>
  <si>
    <t>2017: US Trade with China</t>
  </si>
  <si>
    <t>£ bn</t>
  </si>
  <si>
    <t>$ bn</t>
  </si>
  <si>
    <r>
      <t>US</t>
    </r>
    <r>
      <rPr>
        <sz val="11"/>
        <color theme="1"/>
        <rFont val="Calibri"/>
        <family val="2"/>
      </rPr>
      <t>‒</t>
    </r>
    <r>
      <rPr>
        <sz val="11"/>
        <color theme="1"/>
        <rFont val="Calibri"/>
        <family val="2"/>
        <scheme val="minor"/>
      </rPr>
      <t xml:space="preserve">China </t>
    </r>
  </si>
  <si>
    <t>US-China Balance of Trade in Goods and Services 2017</t>
  </si>
  <si>
    <t>US$ bn</t>
  </si>
  <si>
    <t>Comparative Deficits</t>
  </si>
  <si>
    <t>Adjusted for GDP</t>
  </si>
  <si>
    <t>Source Economist Pocket World of Figures 2018</t>
  </si>
  <si>
    <t xml:space="preserve">GDP Gross US$ bn </t>
  </si>
  <si>
    <t>(Note: Typo on p.24. These aren't 2015 values)</t>
  </si>
  <si>
    <t>Population</t>
  </si>
  <si>
    <t xml:space="preserve">US$ </t>
  </si>
  <si>
    <t xml:space="preserve">Standard Treasury Deflator (for reference) </t>
  </si>
  <si>
    <t xml:space="preserve">Original data was in current prices. This deflator series is from the UK Treasury. March 2018. The effect of switching to a standard GDP deflator is to reduce growth rates; imports more than exports. </t>
  </si>
  <si>
    <t>Trade deficit per person</t>
  </si>
  <si>
    <r>
      <t>UK</t>
    </r>
    <r>
      <rPr>
        <sz val="11"/>
        <color theme="1"/>
        <rFont val="Calibri"/>
        <family val="2"/>
      </rPr>
      <t>‒EU</t>
    </r>
  </si>
  <si>
    <t>Goods Balance with China</t>
  </si>
  <si>
    <t>Alt Balance of Payments Data</t>
  </si>
  <si>
    <t xml:space="preserve">Imports EU </t>
  </si>
  <si>
    <t>29th March 2018</t>
  </si>
  <si>
    <t>2015-2017 £bn</t>
  </si>
  <si>
    <t>UK Total Trade 2017: Goods</t>
  </si>
  <si>
    <t>UK Total Trade 2017: Services</t>
  </si>
  <si>
    <t>CAGR 1998/99 - 2017</t>
  </si>
  <si>
    <t>Section 2. Growth of Trade in Goods: 1998 - 2017</t>
  </si>
  <si>
    <t>Average Exports 2015-17</t>
  </si>
  <si>
    <t>Average Imports 2015-17</t>
  </si>
  <si>
    <t>Overall % Growth: 1998-2017</t>
  </si>
  <si>
    <t>2017</t>
  </si>
  <si>
    <t xml:space="preserve">US deficit with China </t>
  </si>
  <si>
    <r>
      <t xml:space="preserve">UK deficit with </t>
    </r>
    <r>
      <rPr>
        <sz val="11"/>
        <color theme="1"/>
        <rFont val="Calibri"/>
        <family val="2"/>
      </rPr>
      <t>EU</t>
    </r>
  </si>
  <si>
    <t>This data is taken from a second series of data published by ONS in March 2018. Links provided below. Data is adjuted for inflation using  ONS deflators for imports and exports (they are slightly different).  Averages are calculated from three-year periods at the start and end of data run period. See calculation table below. The deflator works on a 2015 base price. See Section 5 below. Using a standard UK Treasury deflator has the effect of raising annual growth rates by 0.2‒0.3%.</t>
  </si>
  <si>
    <t>Note: This time series uses a different ONS data set to that from which 2016 data are compiled. While the data for EU conforms closely, the data for non-EU services trade in the below analysis suggests higher exports to non-EU countries. However, the purpose of Section 3 is to analyse and compare long-term growth rates.</t>
  </si>
  <si>
    <t>(EU Imports revisions from 1999)</t>
  </si>
  <si>
    <t>Non-Manufactured poducts</t>
  </si>
  <si>
    <t xml:space="preserve">  Products of agriculture, forestry &amp; fishing</t>
  </si>
  <si>
    <t xml:space="preserve">  Mining &amp; quarrying</t>
  </si>
  <si>
    <t xml:space="preserve">  Electricity, gas, steam &amp; air conditioning</t>
  </si>
  <si>
    <t xml:space="preserve">  Water supply, sewerage &amp; waste management</t>
  </si>
  <si>
    <t xml:space="preserve">  Information &amp; communication services</t>
  </si>
  <si>
    <t xml:space="preserve">  Arts, entertainment &amp; recreation</t>
  </si>
  <si>
    <r>
      <t>Compound Annual Growth 1998</t>
    </r>
    <r>
      <rPr>
        <b/>
        <sz val="11"/>
        <color theme="1"/>
        <rFont val="Calibri"/>
        <family val="2"/>
      </rPr>
      <t>–2017</t>
    </r>
  </si>
  <si>
    <t>CAGR             1998-2017</t>
  </si>
  <si>
    <t>Growth 1998-2017 %</t>
  </si>
  <si>
    <r>
      <t xml:space="preserve">Growth 1998-2017 </t>
    </r>
    <r>
      <rPr>
        <b/>
        <sz val="11"/>
        <color theme="1"/>
        <rFont val="Calibri"/>
        <family val="2"/>
      </rPr>
      <t>£bn</t>
    </r>
  </si>
  <si>
    <r>
      <t xml:space="preserve">Overall Growth of UK Services Trade:      1999 </t>
    </r>
    <r>
      <rPr>
        <b/>
        <sz val="11"/>
        <color theme="1"/>
        <rFont val="Calibri"/>
        <family val="2"/>
      </rPr>
      <t>–</t>
    </r>
    <r>
      <rPr>
        <b/>
        <sz val="11"/>
        <color theme="1"/>
        <rFont val="Calibri"/>
        <family val="2"/>
        <scheme val="minor"/>
      </rPr>
      <t xml:space="preserve"> 2017</t>
    </r>
  </si>
  <si>
    <t>Imports   2015-2017 (£bn)</t>
  </si>
  <si>
    <t>Exports  2015-2017 (£bn)</t>
  </si>
  <si>
    <t xml:space="preserve">Section 4. Growth in EU, non-EU trade in manufactured goods: 1998 – 2017
</t>
  </si>
  <si>
    <r>
      <t xml:space="preserve">Data for growth rates: 1998 </t>
    </r>
    <r>
      <rPr>
        <b/>
        <sz val="11"/>
        <color theme="1"/>
        <rFont val="Calibri"/>
        <family val="2"/>
      </rPr>
      <t>– 2017</t>
    </r>
  </si>
  <si>
    <t>Total Serfices exports</t>
  </si>
  <si>
    <t>The time series data for Goods (1998 - 2017) and Services (1999 - 2017) are adjusted for inflation. Both use series published by ONS in March 2018. This analysis also uses new ONS trade series deflators (see calculations and links) which provide different delfators. Consequently, the growth rates for imports are fractionally higher than if the same deflator were used for both series. Growth rates have also been calculated using a standard UK Treasury deflator: the effect was to reduce all ammounts by approximately 0.2 to 0.3%. For example, using a standard GDP deflator, the growth rate of goods exports to the EU sinks to 0.2%. All calculations for compound annual growth rates are shown in the two susequent tabs:  'Trade in Services', and 'Trade in Goods'.</t>
  </si>
  <si>
    <t>Services to non-EU countries</t>
  </si>
  <si>
    <t xml:space="preserve">Services to EU </t>
  </si>
  <si>
    <t>Goods to non-EU countries</t>
  </si>
  <si>
    <t>Current data matches up to 2012</t>
  </si>
  <si>
    <t xml:space="preserve">Data is marginally revised up tp 2014, then, curiously, is revised up by 6.2 bn, 2.9 bn, and 2.1 bn. This would have the effect of raising the value of EU imports 2014-16 by 1.6% over the values used for sectoral breakdowns. </t>
  </si>
  <si>
    <t>Variance</t>
  </si>
  <si>
    <t>Imp</t>
  </si>
  <si>
    <t>Exp</t>
  </si>
  <si>
    <t>Data is identical up to 2013, and then revised marginally up to 2014, when it is raised by approximately 3%</t>
  </si>
  <si>
    <t>% VAR</t>
  </si>
  <si>
    <t>%VAR</t>
  </si>
  <si>
    <t>Current data is slightly higher up to 2009, then slightly lower, then lowered by 1.6% from 2014 to 2016</t>
  </si>
  <si>
    <t>Averages</t>
  </si>
  <si>
    <t>Multipliers</t>
  </si>
  <si>
    <t>EXP</t>
  </si>
  <si>
    <t>IMP</t>
  </si>
  <si>
    <t>Adjusted for inflation, and the variances to totals published in March 2018 (see Core Data-Goods). Also, data adjusted for variances in March 2018 published data for years 2014-16. See Core Data Goods.</t>
  </si>
  <si>
    <t>Last three years adjusted data</t>
  </si>
  <si>
    <t xml:space="preserve">This series adjusts the data to reflect the 2017 revisions to data. It is a best estimate. </t>
  </si>
  <si>
    <t>Note: Different import/export deflators take account of currency variations, and are probably a better guide to historic import and export values than, e.g. the standard deflator below. However, they do result in misleading values for trade imbalances in any given year. Consequently, using original core data for trade deficits or surpluses (plus a single deflator) is more instructive.</t>
  </si>
  <si>
    <t>Section 1: Current Prices, seasonally adjusted. Section 2 onwards: data adjusted for inflation, using ONS trade deflators for imports and exports, 2015 base prices (see Section 7 below). Note, this sheet uses a sectoral breakdown published by ONS in 2017. Since then, ONS has revised up some EU export values for the period 2014-16, with other minor adjustments (See Core Data Services). However, the funcion of this sheet is to analyse the relative size of UK's principal goods export sectors. Updates for individual sectors will be published if that data become available, although unless the variations are attributable to only a few sectors (as opposed to across the board) then the changes in CAGR are unlikely to exceed 0.2-0.3%. However, in the interests of best attainable accuracy, the revisions have been interpolated into the overall manufacturing CAGR calculations (see notes/calculations in lines 145 to 154).</t>
  </si>
  <si>
    <r>
      <t xml:space="preserve">Published 2017: Note: this data set is no longer available on the ONS website, however it is the only data set which allows analysts to break down the constituents of UK manufacturing data in one data set back to 1998. In March 2018, ONS republished its totals for exports and imports, back to 1999. For the most part, adjustments were minor up until 2014. For the years 2014 to 2016, the effect of the adjustments is to raise  the values of trade with the EU - for exports by 3.1% and imports by 1.7%, and to decrease the value of trade with non-EU countries - for exports by 1.6% and imports by 0.8%. It is of note that without the sudden increases in trade values reported for 2017  (possibly due to the decrease in Sterling) and the adjustments made in 2014-16 data, the effect, generally is to reduce EU export growth rates for most manufacturing sectors by approximately 0.2-0.3% per annum. Curiously, this original 2017-published data for UK to EU Exports for 2014-2016 tracks HMRC data for that period more closely than the updated data, in terms of UK exports to the EU. It appears that in early 2018, the ONS uncovered approximately </t>
    </r>
    <r>
      <rPr>
        <sz val="11"/>
        <rFont val="Calibri"/>
        <family val="2"/>
      </rPr>
      <t>£13.5 billion in exports to EU for the period 2014-16 that were previously missed by both customs and its own initial data collection.</t>
    </r>
  </si>
  <si>
    <t>Mining &amp; quarrying (Inc. crude oil &amp; gas)</t>
  </si>
  <si>
    <t>Export Categories in UK Trade (£ bn): 2017</t>
  </si>
  <si>
    <t>Percentage of exports 2017</t>
  </si>
  <si>
    <t>1998 - 2007</t>
  </si>
  <si>
    <t>2008 - 2017</t>
  </si>
  <si>
    <t>Composition of Trade in Goods: 1998 - 2017</t>
  </si>
  <si>
    <t xml:space="preserve">Sources: ONS </t>
  </si>
  <si>
    <t>Note: this section switches to inflation-adjusted data with 2015 as the base year, hence the end series values are lower than in current-price data. Growth rates calculated from three-year averages at the beginning and end of the time series. ONS Deflators for exports and imports at lines 191-195.</t>
  </si>
  <si>
    <r>
      <rPr>
        <b/>
        <sz val="11"/>
        <color theme="1"/>
        <rFont val="Calibri"/>
        <family val="2"/>
        <scheme val="minor"/>
      </rPr>
      <t>Note</t>
    </r>
    <r>
      <rPr>
        <sz val="11"/>
        <color theme="1"/>
        <rFont val="Calibri"/>
        <family val="2"/>
        <scheme val="minor"/>
      </rPr>
      <t xml:space="preserve">: Although CAGR calculations indicate that exports have risen sonce 1998, the growth was principally confined to the first decade. Consequently, in real prices, exports in 2008 </t>
    </r>
    <r>
      <rPr>
        <sz val="11"/>
        <color theme="1"/>
        <rFont val="Calibri"/>
        <family val="2"/>
      </rPr>
      <t>‒</t>
    </r>
    <r>
      <rPr>
        <sz val="11"/>
        <color theme="1"/>
        <rFont val="Calibri"/>
        <family val="2"/>
        <scheme val="minor"/>
      </rPr>
      <t xml:space="preserve"> 2017 were lower (</t>
    </r>
    <r>
      <rPr>
        <sz val="11"/>
        <color theme="1"/>
        <rFont val="Calibri"/>
        <family val="2"/>
      </rPr>
      <t>£144.7 bn) than in 1998 ‒ 2007 (£145.6). This means UK goods exports to EU are stagnant.</t>
    </r>
    <r>
      <rPr>
        <sz val="11"/>
        <color theme="1"/>
        <rFont val="Calibri"/>
        <family val="2"/>
        <scheme val="minor"/>
      </rPr>
      <t xml:space="preserve"> This can readily be seen from the graph below, which shows that currently, UK goods exports to EU have not regained the value achieved in 2006, just before the financial crisis. In contrast exports to goods outside the EU are 43% higher than in 2006.</t>
    </r>
  </si>
  <si>
    <r>
      <t>Average yearly value: 1998 - 2007 (</t>
    </r>
    <r>
      <rPr>
        <b/>
        <sz val="11"/>
        <color theme="1"/>
        <rFont val="Calibri"/>
        <family val="2"/>
      </rPr>
      <t>£ bn)</t>
    </r>
  </si>
  <si>
    <t>Average yearly growth: 2008 - 2017 (£ bn)</t>
  </si>
  <si>
    <t>Goods: Non-EU</t>
  </si>
  <si>
    <t>Goods: EU</t>
  </si>
  <si>
    <t>Services: Non-EU</t>
  </si>
  <si>
    <t>Services: EU</t>
  </si>
  <si>
    <t>The result is a neat verdict on the past 20 years of UK trade within the Customs Union and Single Market. Clearly, the worst-performing sector in all UK trade – UK goods exports to the EU – is precisely that sector where the Customs Union and Single Market have greatest impact. While UK goods exports to EU rose in advance of the global financial crisis (GFC), imports always rose faster. Consequently, a trading relationship that was in balance 20 years ago, is now delivering thumping deficits. These deficits</t>
  </si>
  <si>
    <t>Trade data adjusted for inflation (2015 prices)</t>
  </si>
  <si>
    <t>Note: Data adjusted for inflation; 2015 prices</t>
  </si>
  <si>
    <t>Average value</t>
  </si>
  <si>
    <t>EU Goods Exports (bn)</t>
  </si>
  <si>
    <t>Working Data</t>
  </si>
  <si>
    <t>The following are working data from previously published data sets.</t>
  </si>
  <si>
    <t>Average</t>
  </si>
  <si>
    <t>Productivity</t>
  </si>
  <si>
    <t>ONS</t>
  </si>
  <si>
    <t>Census</t>
  </si>
  <si>
    <t>Export Price Index</t>
  </si>
  <si>
    <t>US Bureau of Labour Statistics</t>
  </si>
  <si>
    <t>July % increase on year earlier.</t>
  </si>
  <si>
    <t>Modifier</t>
  </si>
  <si>
    <t>US Exports to EU ($ bn)</t>
  </si>
  <si>
    <t>Average 1998 to 2000</t>
  </si>
  <si>
    <t>Average 2015-2017</t>
  </si>
  <si>
    <t>CAGR</t>
  </si>
  <si>
    <r>
      <t>Annual growth rates 1998</t>
    </r>
    <r>
      <rPr>
        <b/>
        <sz val="11"/>
        <color theme="1"/>
        <rFont val="Calibri"/>
        <family val="2"/>
      </rPr>
      <t>‒</t>
    </r>
    <r>
      <rPr>
        <b/>
        <sz val="11"/>
        <color theme="1"/>
        <rFont val="Calibri"/>
        <family val="2"/>
        <scheme val="minor"/>
      </rPr>
      <t>2017</t>
    </r>
  </si>
  <si>
    <t xml:space="preserve">US Goods Exports to EU </t>
  </si>
  <si>
    <t>UK Goods Exports to EU</t>
  </si>
  <si>
    <t xml:space="preserve">UK Productivity </t>
  </si>
  <si>
    <t>Eurozone GDP*</t>
  </si>
  <si>
    <t>Comparative Growth Rates</t>
  </si>
  <si>
    <t>*1995 to 2018</t>
  </si>
  <si>
    <t>Section 9. Other Comparative Annual Growth Data</t>
  </si>
  <si>
    <t>Q1</t>
  </si>
  <si>
    <t>Q2</t>
  </si>
  <si>
    <t>Q3</t>
  </si>
  <si>
    <t>Q4</t>
  </si>
  <si>
    <t>Alternative Methodology</t>
  </si>
  <si>
    <t>Fed Reserve Bank of St Louis, Export Deflator Data</t>
  </si>
  <si>
    <t>Base Price</t>
  </si>
  <si>
    <t>Yr to July Variation</t>
  </si>
  <si>
    <t>Re-base to 2017 prices</t>
  </si>
  <si>
    <t>Price Change Data</t>
  </si>
  <si>
    <t>Bureau of Labour Stats</t>
  </si>
  <si>
    <t>US-EU Exports ($bn)</t>
  </si>
  <si>
    <t>Annual export price change (July to July)</t>
  </si>
  <si>
    <t>Deflator to 2017 prices</t>
  </si>
  <si>
    <t>Reeal Prices US exports (2017 $bn)</t>
  </si>
  <si>
    <t>Average Exports 1998 to 2000</t>
  </si>
  <si>
    <t>2012 prices</t>
  </si>
  <si>
    <t>US Census/Labour Bureau</t>
  </si>
  <si>
    <t>Value</t>
  </si>
  <si>
    <t>Calculations for Line 2</t>
  </si>
  <si>
    <t>Calculations for Line 4</t>
  </si>
  <si>
    <t>(Prob: not clear if 2012 general prices or export prices, or if weighted to agricultural goods. In any case, is higher...)</t>
  </si>
  <si>
    <t>UK Annual Average Growth Rate</t>
  </si>
  <si>
    <t>UK Economic Growth Rate (Year on Year)</t>
  </si>
  <si>
    <t>Jan</t>
  </si>
  <si>
    <t>US Sterling Exchange Rate</t>
  </si>
  <si>
    <t>Feb</t>
  </si>
  <si>
    <t>Mar</t>
  </si>
  <si>
    <t xml:space="preserve">High </t>
  </si>
  <si>
    <t>Low</t>
  </si>
  <si>
    <t>Apr</t>
  </si>
  <si>
    <t>May</t>
  </si>
  <si>
    <t>Jun</t>
  </si>
  <si>
    <t>Jul</t>
  </si>
  <si>
    <t>Aug</t>
  </si>
  <si>
    <t>Sep</t>
  </si>
  <si>
    <t>Oct</t>
  </si>
  <si>
    <t>Nov</t>
  </si>
  <si>
    <t>Dec</t>
  </si>
  <si>
    <t>Yearly Average</t>
  </si>
  <si>
    <t>Mean of High/Low</t>
  </si>
  <si>
    <t>Goods Exports in UK Pounds (Nominal)</t>
  </si>
  <si>
    <t>UK Nominal EU Goods Exports (1000)</t>
  </si>
  <si>
    <r>
      <t xml:space="preserve">UK Nominal EU Goods Exports </t>
    </r>
    <r>
      <rPr>
        <sz val="11"/>
        <color theme="1"/>
        <rFont val="Calibri"/>
        <family val="2"/>
      </rPr>
      <t>£</t>
    </r>
    <r>
      <rPr>
        <sz val="9.9"/>
        <color theme="1"/>
        <rFont val="Calibri"/>
        <family val="2"/>
      </rPr>
      <t>bn</t>
    </r>
  </si>
  <si>
    <t>US Nominal Goods Exports $ bn</t>
  </si>
  <si>
    <r>
      <t>Nominal US Exports to EU in current year exchange rates (</t>
    </r>
    <r>
      <rPr>
        <sz val="11"/>
        <color theme="1"/>
        <rFont val="Calibri"/>
        <family val="2"/>
      </rPr>
      <t>£</t>
    </r>
    <r>
      <rPr>
        <sz val="9.9"/>
        <color theme="1"/>
        <rFont val="Calibri"/>
        <family val="2"/>
      </rPr>
      <t>bn)</t>
    </r>
  </si>
  <si>
    <r>
      <rPr>
        <b/>
        <sz val="11"/>
        <color theme="1"/>
        <rFont val="Calibri"/>
        <family val="2"/>
        <scheme val="minor"/>
      </rPr>
      <t>Note:</t>
    </r>
    <r>
      <rPr>
        <sz val="11"/>
        <color theme="1"/>
        <rFont val="Calibri"/>
        <family val="2"/>
        <scheme val="minor"/>
      </rPr>
      <t xml:space="preserve"> not possible to use export deflators as they take account of exchange rates anyway...</t>
    </r>
  </si>
  <si>
    <r>
      <t>UK-EU Goods Exports (</t>
    </r>
    <r>
      <rPr>
        <sz val="11"/>
        <color theme="1"/>
        <rFont val="Calibri"/>
        <family val="2"/>
      </rPr>
      <t>£</t>
    </r>
    <r>
      <rPr>
        <sz val="9.9"/>
        <color theme="1"/>
        <rFont val="Calibri"/>
        <family val="2"/>
      </rPr>
      <t>bn Nominal)</t>
    </r>
  </si>
  <si>
    <t>US-EU Goods Exports (£bn Nominal)</t>
  </si>
  <si>
    <t>UK Exports to EU</t>
  </si>
  <si>
    <t>US Exports to EU</t>
  </si>
  <si>
    <t>Section 10. UK Economic Growth Rate, and US Comparisons of goods export growth to EU</t>
  </si>
  <si>
    <t>UK Average</t>
  </si>
  <si>
    <t>US Average</t>
  </si>
  <si>
    <t>Difference</t>
  </si>
  <si>
    <t>% difference UK</t>
  </si>
  <si>
    <t>Travel to EU</t>
  </si>
  <si>
    <t>Telecommunications, computers &amp; IT to non-EU</t>
  </si>
  <si>
    <t>Telecommunications, computers &amp; IT to EU</t>
  </si>
  <si>
    <t>Intelltectucal property to non-EU</t>
  </si>
  <si>
    <t>2.1 Long-term growth in UK Trade with EU and non-EU countries</t>
  </si>
  <si>
    <t>Section 3: Change in UK trade partnership with EU for goods</t>
  </si>
  <si>
    <t>Section 7: Deflators</t>
  </si>
  <si>
    <t>Section 8: UK-EU and US-China Deficit Comparison</t>
  </si>
  <si>
    <t>Exchange rate (Average of mean high and mean low)</t>
  </si>
  <si>
    <t>Section 2. Governance of UK Trade: EU, WTO and Bilateral Agreements</t>
  </si>
  <si>
    <t>% EU</t>
  </si>
  <si>
    <t>% Non-EU</t>
  </si>
  <si>
    <t>Three-year Average</t>
  </si>
  <si>
    <t>UK Goods</t>
  </si>
  <si>
    <t>UK Services</t>
  </si>
  <si>
    <t>Source for ETA/Bilateral treaty data: Burrage, It's Quite OK to Walk Away.</t>
  </si>
  <si>
    <t>Proportions of Trade</t>
  </si>
  <si>
    <t>Section 3. Growth in EU, non-EU Trade: 1998 - 2017</t>
  </si>
  <si>
    <t>Section 4: Overview of UK trade 2017</t>
  </si>
  <si>
    <r>
      <t>Compound Annual Growth Rate (CAGR)  1998</t>
    </r>
    <r>
      <rPr>
        <b/>
        <sz val="11"/>
        <color theme="1"/>
        <rFont val="Calibri"/>
        <family val="2"/>
      </rPr>
      <t>–2017</t>
    </r>
  </si>
  <si>
    <t>Proportion of non-EU trade subject to WTO rules</t>
  </si>
  <si>
    <t>Data Source: All data sourced form ONS, 2017-2018, unless otherwises stated. See notes in following tabs for sources and links</t>
  </si>
  <si>
    <t>Section 6. Core Data, Current Prices, ONS September 2018 Release</t>
  </si>
  <si>
    <t>Manufacturing</t>
  </si>
  <si>
    <t xml:space="preserve">This chart demonstrates that at just 0.2% per year, the CAGR of UK goods exports to the EU since 1998 is unqiuely poor, as compared to all other elements of UK trade. Worse, the figure doesn't reflect recent stagnation. UK goods exports to EU grew slowly, through steadily, from 1998 to the global financial crisis, then dropped suddenly and have failed to recover (See Tab 3, Section 4). Thus, by some measures (e.g. average annual exports, per decade) UK exports to EU are actually falling. Note, this low growth rate (0.2% per year) is no reflection on EU economic growth rates. As demonstrated in Tab 3 (Trade in Goods), Section 9, the growth rate for UK goods exports to the EU is lower than both the long-term, Euro area growth rate (1.56%), and the average growth rate of US exports to the EU, over the same 20-year periond (2.11%). It is also lower than the UK's own productivity growth rate, which implies that friction-less trade within the Customs Union has not created any additional jobs since 1998. </t>
  </si>
  <si>
    <t>Random calculations</t>
  </si>
  <si>
    <t>Non-averaged CAGR</t>
  </si>
  <si>
    <t xml:space="preserve">Is also misleading, since the outstanding fact of UK to EU goods exports is that still no higher than in 2006. </t>
  </si>
  <si>
    <t>Section 11</t>
  </si>
  <si>
    <t>Even if include only the low 1998 value, and only the 2017, post-devaluation boom year, you still get a CAGR of 0.71% per year. This is still slower than productivity CAGR, Eurzone growth, and 1/3 of US, though US would be far higher if calculated this way.</t>
  </si>
  <si>
    <t>Validity</t>
  </si>
  <si>
    <t>Title</t>
  </si>
  <si>
    <t>Release date</t>
  </si>
  <si>
    <t>28-09-2018</t>
  </si>
  <si>
    <t>Next release</t>
  </si>
  <si>
    <t>21 December 2018</t>
  </si>
  <si>
    <t>Value in Curret Prices</t>
  </si>
  <si>
    <t>Release, 28th September 1998</t>
  </si>
  <si>
    <t>Release 28th September 2018</t>
  </si>
  <si>
    <t xml:space="preserve">EU Imports </t>
  </si>
  <si>
    <t>Trade in Services Current Prices</t>
  </si>
  <si>
    <t xml:space="preserve">Trade in services </t>
  </si>
  <si>
    <r>
      <t>Value in Current Prices (</t>
    </r>
    <r>
      <rPr>
        <b/>
        <sz val="11"/>
        <color theme="1"/>
        <rFont val="Calibri"/>
        <family val="2"/>
      </rPr>
      <t xml:space="preserve">£ </t>
    </r>
    <r>
      <rPr>
        <b/>
        <sz val="11"/>
        <color theme="1"/>
        <rFont val="Calibri"/>
        <family val="2"/>
        <scheme val="minor"/>
      </rPr>
      <t>billions)</t>
    </r>
  </si>
  <si>
    <r>
      <t xml:space="preserve">Note. In its September Release, ONS raised its estaimte of Exports to EU by approximately </t>
    </r>
    <r>
      <rPr>
        <sz val="11"/>
        <color theme="1"/>
        <rFont val="Calibri"/>
        <family val="2"/>
      </rPr>
      <t>£</t>
    </r>
    <r>
      <rPr>
        <sz val="11"/>
        <color theme="1"/>
        <rFont val="Calibri"/>
        <family val="2"/>
        <scheme val="minor"/>
      </rPr>
      <t xml:space="preserve">10 </t>
    </r>
    <r>
      <rPr>
        <sz val="9.9"/>
        <color theme="1"/>
        <rFont val="Calibri"/>
        <family val="2"/>
      </rPr>
      <t>billion</t>
    </r>
  </si>
  <si>
    <r>
      <t xml:space="preserve">Note: In its September 2018 Release, ONS lowered its estaimate of exports to non-EU countries by approximately </t>
    </r>
    <r>
      <rPr>
        <sz val="11"/>
        <color theme="1"/>
        <rFont val="Calibri"/>
        <family val="2"/>
      </rPr>
      <t>£</t>
    </r>
    <r>
      <rPr>
        <sz val="9.9"/>
        <color theme="1"/>
        <rFont val="Calibri"/>
        <family val="2"/>
      </rPr>
      <t>10 billion</t>
    </r>
  </si>
  <si>
    <t>Historic trade data: 1999 to 2017.</t>
  </si>
  <si>
    <t>ONS November 2017</t>
  </si>
  <si>
    <t>Composition of trade in services: 2014 to 2018</t>
  </si>
  <si>
    <t>ONS September 2018 (EU imports)</t>
  </si>
  <si>
    <t>Sources: Office for National Statistics (ONS)</t>
  </si>
  <si>
    <t>\</t>
  </si>
  <si>
    <t>Note: Since the ONS revisions in September 2018 there is a significant discrepency beween different sets of ONS services data. The data set used in Section 1 relies on a November 2017 publication, which has totals for each sector, and is the only publication to merge data from multiple sources and enable direct comparies. For export totals, the September 2018 data is more reliable, though this too may significantly revised into 2019.</t>
  </si>
  <si>
    <t>Section 1: Current Prices, seasonally adjusted. Data published November 2017, with breakdowns calculated for 2016. Section 4 data onwards:updated data published in Setpember 2018, adjusted for inflation using ONS trade deflators for imports and exports, 2015 base prices (see Section 7 below). In general, data used to calculate long-term growth rates have been taken up to 2017.</t>
  </si>
  <si>
    <t>(Links in U188 to U194)</t>
  </si>
  <si>
    <t>The EU purchased £117 billion of UK's £279 billion services exports in 2017, a 42% share that is declining very slightly over time. This services trade is unaffected by the EU Customs Union and only fractionally impacted by the Single Market. The Single Market most impacts trade in financial services, which generated £27 billion of EU exports in 2016 (the last year for which a reliably, detailed breakdown is available) and a £22.9 billion surplus, making it UK's best-performing sectoral trade relationship with the EU. However, UK sells far more financial services outside the EU - worth £34 billion - and together they accounted for just 25% of UK services exports in 2016. More valuable are what ONS calls 'other business services', which comprise professional services, such as legal, accounting, advertising and business consultancy services, plus numerous others. Next most valuable are tavel and transportation services, telecoms and IT. Interestingly, UK exported £17.63 billion of insurance and pensions services in 2016, but only a tiny fraction (£1.7 bn) of that total went to the EU. UK Exports of services outside the EU have grown by 5.6% per year since 1999, which means the UK's best performing trade is also the one that is least imapcted by EU membership. Worth £162 bn in 2017, serives exports to countries outside the EU will shortly overtake UK's non-EU goods exports, which are growing by 3.3% per year.</t>
  </si>
  <si>
    <t>The UK exported goods worth £338.7 billion in 2017, of which 89% were manufactured products — a proportion that has remained steady since 1998. In real prices (i.e. adjusted for inflation), UK exports to EU have barely risen in value since 1998 - by 3.7% overall, and just 0.2% per year (CAGR). Imports from EU have grown  line with UK's general growth in goods trade, by 71.5%. The result is that since 1998, the UK's near-balanced goods trade with EU has deteriorated steadily into into a £94.7 bn deficit in 2017. In contrast, exports to non-EU countries ‒ of which approximately 73% is conducted on WTO terms* ‒ have increased by 74%, or 3.3% per year. Between 1998 and 2017 the EU's share of UK exports has fallen crisply from 60.4% in 1998 to 47.6% in 2017, while imports from EU have remained steady at 55%. The most valuable of UK goods exports are (in order): motor vehicles, £45 bn; transport equipment (mostly aerospace) £36 billion; machinery, £30.7 billion; chemicals, £28.3 billion; and pharmaceuticals, £27.3 billion. The UK's fastest-growing export sectors are aerospace, vehicles, and pharmaceuticals; however trade in aerospace and pharmaceuticals receive no direct commercial benefit from UK membership of the Customs Union, and the growth in UK exports of motor-vehicles is entirely dependent on non-EU markets. Eurostat data (Section 5) reveal UK's uniquely poor trade performace among EU's principal economies, with an export/import ratio falling to 61%. The UK's top 10 manufacturing export sectors are analysed individually in the accompanying sheet:  UK'S Top 10 Sectors.</t>
  </si>
  <si>
    <t>* I am indebted to Michael Burrage (It's Quite OK to Walk Away) for the data enabling this calculation. See Tab 1 (All Trade), Section 2</t>
  </si>
  <si>
    <t>On 30th March 2018, the UK's Office for National Statistics (ONS) published data on UK's trade in services which, for the first time, enable direct comparison of the growth in UKs's trade in goods and services with EU and non-EU countries from 1998/99 to 2017. This data was updated and substantially revised in September 2018. With this data, analysts can place the value of UK's financial services exports in correct proportion with UK's other export sectors, including manufacturing. And with inflation-adjusted time-series data, analysts can compare the growth achieved by exports within the Customs Union with exports outside of it, approximately 73% of which are conducted on World Trade Organisation (WTO) terms (See Section 2). This wprksheet ('All Trade') is a simplified summary of sector-by-sector data analysis: the tabs below step through summaries of UK 'Trade in Goods', then 'Trade in Services'. Next this analysis focuses on manufacturing, which is 89% of all UK goods exports. In an accompanying sheet, this analysis steps through UK's top ten goods export sectors in turn, starting with 'Motor Vehicles'. Additions, comments and corrections to this data are welcome. Please Note: ONS revises historic data with curious frequency, including data from 20 years ago. This analysis has been updated to be consisted with data published in September 2018.</t>
  </si>
  <si>
    <r>
      <t xml:space="preserve">This chart shows the average yearly growth rate for UK exports of goods and services to EU and non-EU countries from 1998 (Goods) and 1999 (Services). The relevance of EU membership is superimposed. The Customs Union only impacts UK's goods exports to the EU, which is also where the EU Single Market has maximum impact. This is easily UK's worst-performing trade relationship. The Single Market also impacts UK's goods exports to non-EU countries, since most goods must be made to EU standards whether they are exported to the EU or not. Since the EU has not created Single Market regulation for most services, however, the export of services to EU countries is only slightly impacted by the EU. Financial services are most affected, via passporting rights for example: financial services comprise 25% of UK services exports (see Trade in Services). The UK's best performing area of trade since 1998/1999 is services exports </t>
    </r>
    <r>
      <rPr>
        <b/>
        <i/>
        <sz val="11"/>
        <color theme="1"/>
        <rFont val="Calibri"/>
        <family val="2"/>
        <scheme val="minor"/>
      </rPr>
      <t>outside</t>
    </r>
    <r>
      <rPr>
        <b/>
        <sz val="11"/>
        <color theme="1"/>
        <rFont val="Calibri"/>
        <family val="2"/>
        <scheme val="minor"/>
      </rPr>
      <t xml:space="preserve"> the EU, which is totally free of the EU's Single Market and Customs Union. At </t>
    </r>
    <r>
      <rPr>
        <b/>
        <sz val="11"/>
        <color theme="1"/>
        <rFont val="Calibri"/>
        <family val="2"/>
      </rPr>
      <t>£162 billion, this trade is now worth almost the same as UK's goods-export trade with the EU.</t>
    </r>
  </si>
  <si>
    <t xml:space="preserve">The EU Single Market and Customs Union has proved far more successful at stimulating goods imports to UK. Growth rates for imports from the EU invariably outpace  growth rates for exports by two to three percent across UK's principal manufacturing exports sectors (see relevant tabs in Top 10 trades) and in some cases by far more (See in particular: 'Motor Vehicles'). It is a curious feature of UK trade since 1998/9 that growth in UK trade outside the EU has been far more balanced than growth within it. This might imply that EU membership has permitted UK to specialise in services exports UK over goods. If true this might imply that an EU trade agreement that covers goods without services would be prejudicidal to UK interests. However, the current benefit of EU membership to UK services exports is essentially limited to financial services exports to EU, which contribute just 11% of UK's global services exports. In broad terms, an UK-EU trade agreement that included services would have to include access to many more services currently regulated by the Single Market (e.g. insurance) to balance the market UK currently provides for EU goods. </t>
  </si>
  <si>
    <t>Two-way EU Trade</t>
  </si>
  <si>
    <t>Overall balance (£bn)</t>
  </si>
  <si>
    <t>Original Data; Current Prices</t>
  </si>
  <si>
    <t xml:space="preserve">Note: According to Burrage, (p. 86), Switzerland is by far UK's biggest non-EU, non-WTO market, accounting for 49.5% of such exports. South Korea is next (10.1%), then Turkey (8.2%), then Norway (7.3%). </t>
  </si>
  <si>
    <t xml:space="preserve">Trade rules for UK exports </t>
  </si>
  <si>
    <t>EU-Negotiated Trade Agreements</t>
  </si>
  <si>
    <t>European Free Trade Association</t>
  </si>
  <si>
    <t>World Trade Organisation</t>
  </si>
  <si>
    <t>EU Customs Union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</si>
</sst>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4" formatCode="_-&quot;$&quot;* #,##0.00_-;\-&quot;$&quot;* #,##0.00_-;_-&quot;$&quot;* &quot;-&quot;??_-;_-@_-"/>
    <numFmt numFmtId="43" formatCode="_-* #,##0.00_-;\-* #,##0.00_-;_-* &quot;-&quot;??_-;_-@_-"/>
    <numFmt numFmtId="164" formatCode="0.0%"/>
    <numFmt numFmtId="165" formatCode="[$£-809]#,##0"/>
    <numFmt numFmtId="166" formatCode="_-[$£-809]* #,##0.00_-;\-[$£-809]* #,##0.00_-;_-[$£-809]* &quot;-&quot;??_-;_-@_-"/>
    <numFmt numFmtId="167" formatCode="#\ ##0"/>
    <numFmt numFmtId="168" formatCode="_-[$£-809]* #,##0_-;\-[$£-809]* #,##0_-;_-[$£-809]* &quot;-&quot;??_-;_-@_-"/>
    <numFmt numFmtId="169" formatCode="_-[$£-809]* #,##0.0_-;\-[$£-809]* #,##0.0_-;_-[$£-809]* &quot;-&quot;??_-;_-@_-"/>
    <numFmt numFmtId="170" formatCode="0.0"/>
    <numFmt numFmtId="171" formatCode="[$£-809]#,##0.0"/>
    <numFmt numFmtId="172" formatCode="0.000"/>
    <numFmt numFmtId="173" formatCode="_-* #,##0_-;\-* #,##0_-;_-* &quot;-&quot;??_-;_-@_-"/>
    <numFmt numFmtId="174" formatCode="_-[$$-409]* #,##0_ ;_-[$$-409]* \-#,##0\ ;_-[$$-409]* &quot;-&quot;??_ ;_-@_ "/>
    <numFmt numFmtId="175" formatCode="0.0000"/>
    <numFmt numFmtId="176" formatCode="0.000%"/>
    <numFmt numFmtId="177" formatCode="_-&quot;$&quot;* #,##0.0_-;\-&quot;$&quot;* #,##0.0_-;_-&quot;$&quot;* &quot;-&quot;??_-;_-@_-"/>
    <numFmt numFmtId="178" formatCode="0.00000%"/>
  </numFmts>
  <fonts count="54" x14ac:knownFonts="1">
    <font>
      <sz val="11"/>
      <color theme="1"/>
      <name val="Calibri"/>
      <family val="2"/>
      <scheme val="minor"/>
    </font>
    <font>
      <b/>
      <sz val="11"/>
      <color theme="1"/>
      <name val="Calibri"/>
      <family val="2"/>
      <scheme val="minor"/>
    </font>
    <font>
      <sz val="10"/>
      <name val="Arial"/>
      <family val="2"/>
    </font>
    <font>
      <b/>
      <sz val="10"/>
      <name val="Arial"/>
      <family val="2"/>
    </font>
    <font>
      <sz val="8"/>
      <name val="Verdana"/>
      <family val="2"/>
    </font>
    <font>
      <sz val="10"/>
      <name val="Calibri"/>
      <family val="2"/>
    </font>
    <font>
      <b/>
      <sz val="11"/>
      <color theme="1"/>
      <name val="Calibri"/>
      <family val="2"/>
    </font>
    <font>
      <u/>
      <sz val="11"/>
      <color theme="10"/>
      <name val="Calibri"/>
      <family val="2"/>
      <scheme val="minor"/>
    </font>
    <font>
      <b/>
      <u/>
      <sz val="10"/>
      <name val="Arial"/>
      <family val="2"/>
    </font>
    <font>
      <sz val="10"/>
      <color theme="1"/>
      <name val="Arial"/>
      <family val="2"/>
    </font>
    <font>
      <sz val="11"/>
      <color theme="1"/>
      <name val="Calibri"/>
      <family val="2"/>
      <scheme val="minor"/>
    </font>
    <font>
      <sz val="11"/>
      <color rgb="FFFF0000"/>
      <name val="Calibri"/>
      <family val="2"/>
      <scheme val="minor"/>
    </font>
    <font>
      <b/>
      <sz val="10"/>
      <color rgb="FFFF0000"/>
      <name val="Arial"/>
      <family val="2"/>
    </font>
    <font>
      <b/>
      <sz val="18"/>
      <color theme="1"/>
      <name val="Calibri"/>
      <family val="2"/>
      <scheme val="minor"/>
    </font>
    <font>
      <b/>
      <sz val="10"/>
      <color theme="1"/>
      <name val="Arial"/>
      <family val="2"/>
    </font>
    <font>
      <sz val="12"/>
      <color theme="1"/>
      <name val="Calibri"/>
      <family val="2"/>
      <scheme val="minor"/>
    </font>
    <font>
      <b/>
      <u/>
      <sz val="14"/>
      <name val="Calibri"/>
      <family val="2"/>
      <scheme val="minor"/>
    </font>
    <font>
      <sz val="14"/>
      <color theme="1"/>
      <name val="Calibri"/>
      <family val="2"/>
      <scheme val="minor"/>
    </font>
    <font>
      <b/>
      <sz val="12"/>
      <name val="Arial"/>
      <family val="2"/>
    </font>
    <font>
      <b/>
      <sz val="12"/>
      <color theme="1"/>
      <name val="Arial"/>
      <family val="2"/>
    </font>
    <font>
      <b/>
      <sz val="14"/>
      <color theme="1"/>
      <name val="Calibri"/>
      <family val="2"/>
      <scheme val="minor"/>
    </font>
    <font>
      <b/>
      <sz val="12"/>
      <color theme="1"/>
      <name val="Calibri"/>
      <family val="2"/>
      <scheme val="minor"/>
    </font>
    <font>
      <b/>
      <sz val="10"/>
      <name val="Calibri"/>
      <family val="2"/>
    </font>
    <font>
      <b/>
      <sz val="9"/>
      <name val="Arial"/>
      <family val="2"/>
    </font>
    <font>
      <sz val="10"/>
      <name val="Calibri"/>
      <family val="2"/>
      <scheme val="minor"/>
    </font>
    <font>
      <b/>
      <sz val="11"/>
      <name val="Calibri"/>
      <family val="2"/>
      <scheme val="minor"/>
    </font>
    <font>
      <sz val="11"/>
      <color theme="1"/>
      <name val="Calibri"/>
      <family val="2"/>
    </font>
    <font>
      <b/>
      <sz val="18"/>
      <color theme="1"/>
      <name val="Arial"/>
      <family val="2"/>
    </font>
    <font>
      <i/>
      <sz val="11"/>
      <color theme="1"/>
      <name val="Calibri"/>
      <family val="2"/>
      <scheme val="minor"/>
    </font>
    <font>
      <sz val="11"/>
      <name val="Calibri"/>
      <family val="2"/>
      <scheme val="minor"/>
    </font>
    <font>
      <b/>
      <sz val="12"/>
      <color theme="1"/>
      <name val="Calibri"/>
      <family val="2"/>
    </font>
    <font>
      <b/>
      <sz val="14"/>
      <color theme="1"/>
      <name val="Calibri"/>
      <family val="2"/>
    </font>
    <font>
      <sz val="11"/>
      <color theme="0"/>
      <name val="Calibri"/>
      <family val="2"/>
      <scheme val="minor"/>
    </font>
    <font>
      <b/>
      <sz val="9.9"/>
      <color theme="1"/>
      <name val="Calibri"/>
      <family val="2"/>
    </font>
    <font>
      <b/>
      <sz val="16"/>
      <color theme="1"/>
      <name val="Arial"/>
      <family val="2"/>
    </font>
    <font>
      <sz val="8"/>
      <name val="Calibri"/>
      <family val="2"/>
      <scheme val="minor"/>
    </font>
    <font>
      <sz val="8"/>
      <name val="Calibri"/>
      <family val="2"/>
    </font>
    <font>
      <b/>
      <sz val="9"/>
      <color theme="1"/>
      <name val="Arial"/>
      <family val="2"/>
    </font>
    <font>
      <i/>
      <sz val="10"/>
      <color theme="1"/>
      <name val="Calibri"/>
      <family val="2"/>
      <scheme val="minor"/>
    </font>
    <font>
      <i/>
      <sz val="12"/>
      <color theme="1"/>
      <name val="Calibri"/>
      <family val="2"/>
      <scheme val="minor"/>
    </font>
    <font>
      <sz val="9"/>
      <color theme="1"/>
      <name val="Calibri"/>
      <family val="2"/>
    </font>
    <font>
      <b/>
      <sz val="11"/>
      <color rgb="FF990000"/>
      <name val="Calibri"/>
      <family val="2"/>
      <scheme val="minor"/>
    </font>
    <font>
      <sz val="9.9"/>
      <color theme="1"/>
      <name val="Calibri"/>
      <family val="2"/>
    </font>
    <font>
      <sz val="10"/>
      <name val="Arial"/>
      <family val="2"/>
    </font>
    <font>
      <b/>
      <i/>
      <sz val="11"/>
      <color theme="1"/>
      <name val="Calibri"/>
      <family val="2"/>
      <scheme val="minor"/>
    </font>
    <font>
      <b/>
      <sz val="10"/>
      <color rgb="FFC00000"/>
      <name val="Arial"/>
      <family val="2"/>
    </font>
    <font>
      <b/>
      <sz val="11"/>
      <color rgb="FFC00000"/>
      <name val="Arial"/>
      <family val="2"/>
    </font>
    <font>
      <b/>
      <sz val="11"/>
      <name val="Arial"/>
      <family val="2"/>
    </font>
    <font>
      <sz val="11"/>
      <name val="Calibri"/>
      <family val="2"/>
    </font>
    <font>
      <b/>
      <u/>
      <sz val="11"/>
      <color theme="10"/>
      <name val="Calibri"/>
      <family val="2"/>
      <scheme val="minor"/>
    </font>
    <font>
      <b/>
      <sz val="16"/>
      <color theme="1"/>
      <name val="Calibri"/>
      <family val="2"/>
      <scheme val="minor"/>
    </font>
    <font>
      <u/>
      <sz val="7"/>
      <color indexed="12"/>
      <name val="Arial"/>
      <family val="2"/>
    </font>
    <font>
      <b/>
      <sz val="8"/>
      <name val="Arial"/>
      <family val="2"/>
    </font>
    <font>
      <sz val="10"/>
      <name val="Arial"/>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C00000"/>
        <bgColor indexed="64"/>
      </patternFill>
    </fill>
    <fill>
      <patternFill patternType="solid">
        <fgColor rgb="FFFD6B6B"/>
        <bgColor indexed="64"/>
      </patternFill>
    </fill>
    <fill>
      <patternFill patternType="solid">
        <fgColor theme="2" tint="-9.9978637043366805E-2"/>
        <bgColor indexed="64"/>
      </patternFill>
    </fill>
    <fill>
      <patternFill patternType="solid">
        <fgColor rgb="FFFF0000"/>
        <bgColor indexed="64"/>
      </patternFill>
    </fill>
  </fills>
  <borders count="66">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22">
    <xf numFmtId="0" fontId="0" fillId="0" borderId="0"/>
    <xf numFmtId="0" fontId="4" fillId="0" borderId="0"/>
    <xf numFmtId="0" fontId="2" fillId="0" borderId="0"/>
    <xf numFmtId="0" fontId="7" fillId="0" borderId="0" applyNumberForma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2" fillId="0" borderId="0"/>
    <xf numFmtId="43" fontId="10" fillId="0" borderId="0" applyFont="0" applyFill="0" applyBorder="0" applyAlignment="0" applyProtection="0"/>
    <xf numFmtId="41" fontId="10" fillId="0" borderId="0" applyFont="0" applyFill="0" applyBorder="0" applyAlignment="0" applyProtection="0"/>
    <xf numFmtId="0" fontId="43" fillId="0" borderId="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0" fontId="2" fillId="0" borderId="0"/>
    <xf numFmtId="43" fontId="10" fillId="0" borderId="0" applyFont="0" applyFill="0" applyBorder="0" applyAlignment="0" applyProtection="0"/>
    <xf numFmtId="0" fontId="51" fillId="0" borderId="0" applyNumberFormat="0" applyFill="0" applyBorder="0" applyAlignment="0" applyProtection="0">
      <alignment vertical="top"/>
      <protection locked="0"/>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3" fillId="0" borderId="0"/>
  </cellStyleXfs>
  <cellXfs count="693">
    <xf numFmtId="0" fontId="0" fillId="0" borderId="0" xfId="0"/>
    <xf numFmtId="0" fontId="2" fillId="0" borderId="0" xfId="0" applyFont="1" applyFill="1" applyBorder="1"/>
    <xf numFmtId="0" fontId="0" fillId="0" borderId="0" xfId="0" applyFill="1" applyBorder="1"/>
    <xf numFmtId="0" fontId="2" fillId="0" borderId="0" xfId="0" applyFont="1" applyFill="1" applyBorder="1" applyAlignment="1">
      <alignment horizontal="right"/>
    </xf>
    <xf numFmtId="0" fontId="3" fillId="0" borderId="0" xfId="0" applyFont="1" applyFill="1" applyBorder="1"/>
    <xf numFmtId="0" fontId="0" fillId="0" borderId="0" xfId="0" applyFill="1"/>
    <xf numFmtId="0" fontId="1" fillId="0" borderId="0" xfId="0" applyFont="1"/>
    <xf numFmtId="0" fontId="1" fillId="0" borderId="0" xfId="0" applyFont="1" applyFill="1" applyBorder="1"/>
    <xf numFmtId="0" fontId="1" fillId="0" borderId="0" xfId="0" applyFont="1" applyFill="1"/>
    <xf numFmtId="1" fontId="0" fillId="0" borderId="0" xfId="0" applyNumberFormat="1"/>
    <xf numFmtId="164" fontId="0" fillId="0" borderId="0" xfId="0" applyNumberFormat="1"/>
    <xf numFmtId="165" fontId="0" fillId="0" borderId="0" xfId="0" applyNumberFormat="1"/>
    <xf numFmtId="0" fontId="0" fillId="0" borderId="0" xfId="0" applyAlignment="1">
      <alignment wrapText="1"/>
    </xf>
    <xf numFmtId="0" fontId="3" fillId="0" borderId="0" xfId="0" applyFont="1" applyFill="1" applyBorder="1" applyAlignment="1">
      <alignment horizontal="right"/>
    </xf>
    <xf numFmtId="0" fontId="1" fillId="0" borderId="0" xfId="0" applyFont="1" applyFill="1" applyBorder="1" applyAlignment="1">
      <alignment wrapText="1"/>
    </xf>
    <xf numFmtId="0" fontId="0" fillId="0" borderId="0" xfId="0" applyFill="1" applyBorder="1" applyAlignment="1">
      <alignment wrapText="1"/>
    </xf>
    <xf numFmtId="0" fontId="1" fillId="0" borderId="0" xfId="0" applyFont="1" applyAlignment="1">
      <alignment wrapText="1"/>
    </xf>
    <xf numFmtId="0" fontId="2" fillId="0" borderId="0" xfId="0" applyFont="1" applyFill="1" applyBorder="1" applyAlignment="1">
      <alignment horizontal="center"/>
    </xf>
    <xf numFmtId="166" fontId="0" fillId="0" borderId="0" xfId="0" applyNumberFormat="1"/>
    <xf numFmtId="166" fontId="1" fillId="0" borderId="0" xfId="0" applyNumberFormat="1" applyFont="1"/>
    <xf numFmtId="164" fontId="1" fillId="0" borderId="0" xfId="0" applyNumberFormat="1" applyFont="1"/>
    <xf numFmtId="0" fontId="1" fillId="0" borderId="0" xfId="0" applyFont="1" applyAlignment="1">
      <alignment horizontal="center"/>
    </xf>
    <xf numFmtId="10" fontId="0" fillId="0" borderId="0" xfId="0" applyNumberFormat="1"/>
    <xf numFmtId="0" fontId="8" fillId="0" borderId="0" xfId="0" applyFont="1" applyFill="1" applyBorder="1"/>
    <xf numFmtId="0" fontId="2" fillId="0" borderId="0" xfId="0" applyFont="1" applyFill="1" applyAlignment="1">
      <alignment horizontal="left"/>
    </xf>
    <xf numFmtId="0" fontId="9" fillId="0" borderId="0" xfId="0" applyFont="1"/>
    <xf numFmtId="0" fontId="9" fillId="0" borderId="0" xfId="0" applyFont="1" applyFill="1" applyBorder="1"/>
    <xf numFmtId="0" fontId="9" fillId="0" borderId="0" xfId="0" applyFont="1" applyFill="1"/>
    <xf numFmtId="166" fontId="3" fillId="0" borderId="0" xfId="0" applyNumberFormat="1" applyFont="1" applyFill="1" applyBorder="1"/>
    <xf numFmtId="0" fontId="0" fillId="0" borderId="0" xfId="0" applyAlignment="1">
      <alignment horizontal="center"/>
    </xf>
    <xf numFmtId="167" fontId="2" fillId="0" borderId="0" xfId="0" applyNumberFormat="1" applyFont="1" applyFill="1" applyAlignment="1">
      <alignment horizontal="left"/>
    </xf>
    <xf numFmtId="0" fontId="3" fillId="0" borderId="0" xfId="0" applyFont="1" applyFill="1" applyBorder="1" applyAlignment="1">
      <alignment horizontal="left"/>
    </xf>
    <xf numFmtId="0" fontId="2" fillId="0" borderId="0" xfId="0" applyFont="1" applyFill="1" applyBorder="1" applyAlignment="1">
      <alignment horizontal="left"/>
    </xf>
    <xf numFmtId="168" fontId="0" fillId="0" borderId="0" xfId="0" applyNumberFormat="1"/>
    <xf numFmtId="164" fontId="0" fillId="0" borderId="0" xfId="0" applyNumberFormat="1" applyFont="1" applyAlignment="1">
      <alignment horizontal="center"/>
    </xf>
    <xf numFmtId="10" fontId="0" fillId="0" borderId="0" xfId="0" applyNumberFormat="1" applyAlignment="1">
      <alignment horizontal="center"/>
    </xf>
    <xf numFmtId="0" fontId="2" fillId="0" borderId="1" xfId="0" applyFont="1" applyFill="1" applyBorder="1" applyAlignment="1">
      <alignment horizontal="right"/>
    </xf>
    <xf numFmtId="0" fontId="3" fillId="0" borderId="1" xfId="0" applyFont="1" applyFill="1" applyBorder="1"/>
    <xf numFmtId="0" fontId="3" fillId="0" borderId="1" xfId="0" applyFont="1" applyFill="1" applyBorder="1" applyAlignment="1">
      <alignment horizontal="left"/>
    </xf>
    <xf numFmtId="0" fontId="0" fillId="0" borderId="1" xfId="0" applyFill="1" applyBorder="1"/>
    <xf numFmtId="0" fontId="2" fillId="0" borderId="1" xfId="0" applyFont="1" applyFill="1" applyBorder="1" applyAlignment="1">
      <alignment horizontal="left"/>
    </xf>
    <xf numFmtId="0" fontId="0" fillId="0" borderId="2" xfId="0" applyBorder="1" applyAlignment="1">
      <alignment wrapText="1"/>
    </xf>
    <xf numFmtId="0" fontId="0" fillId="0" borderId="2" xfId="0" applyBorder="1"/>
    <xf numFmtId="0" fontId="0" fillId="0" borderId="0" xfId="0" applyBorder="1" applyAlignment="1">
      <alignment wrapText="1"/>
    </xf>
    <xf numFmtId="0" fontId="0" fillId="0" borderId="0" xfId="0" applyBorder="1"/>
    <xf numFmtId="0" fontId="1" fillId="0" borderId="0" xfId="0" applyFont="1" applyBorder="1"/>
    <xf numFmtId="0" fontId="1" fillId="0" borderId="3" xfId="0" applyFont="1" applyFill="1" applyBorder="1" applyAlignment="1">
      <alignment wrapText="1"/>
    </xf>
    <xf numFmtId="0" fontId="2" fillId="0" borderId="3" xfId="0" applyFont="1" applyFill="1" applyBorder="1"/>
    <xf numFmtId="0" fontId="0" fillId="0" borderId="3" xfId="0" applyBorder="1"/>
    <xf numFmtId="0" fontId="0" fillId="0" borderId="3" xfId="0" applyFill="1" applyBorder="1"/>
    <xf numFmtId="0" fontId="1" fillId="0" borderId="3" xfId="0" applyFont="1" applyBorder="1" applyAlignment="1">
      <alignment wrapText="1"/>
    </xf>
    <xf numFmtId="0" fontId="3" fillId="0" borderId="3" xfId="0" applyFont="1" applyFill="1" applyBorder="1"/>
    <xf numFmtId="0" fontId="9" fillId="0" borderId="3" xfId="0" applyFont="1" applyBorder="1"/>
    <xf numFmtId="0" fontId="3" fillId="0" borderId="2" xfId="0" applyFont="1" applyFill="1" applyBorder="1"/>
    <xf numFmtId="0" fontId="3" fillId="0" borderId="2" xfId="0" applyFont="1" applyFill="1" applyBorder="1" applyAlignment="1">
      <alignment horizontal="left"/>
    </xf>
    <xf numFmtId="169" fontId="1" fillId="0" borderId="0" xfId="0" applyNumberFormat="1" applyFont="1"/>
    <xf numFmtId="0" fontId="1" fillId="0" borderId="3" xfId="0" applyFont="1" applyBorder="1"/>
    <xf numFmtId="169" fontId="1" fillId="0" borderId="3" xfId="0" applyNumberFormat="1" applyFont="1" applyBorder="1"/>
    <xf numFmtId="164" fontId="0" fillId="0" borderId="3" xfId="0" applyNumberFormat="1" applyBorder="1"/>
    <xf numFmtId="10" fontId="0" fillId="0" borderId="3" xfId="0" applyNumberFormat="1" applyBorder="1"/>
    <xf numFmtId="0" fontId="0" fillId="0" borderId="3" xfId="0" applyBorder="1" applyAlignment="1">
      <alignment horizontal="center"/>
    </xf>
    <xf numFmtId="0" fontId="0" fillId="0" borderId="0" xfId="0" applyBorder="1" applyAlignment="1">
      <alignment horizontal="center"/>
    </xf>
    <xf numFmtId="2" fontId="0" fillId="0" borderId="0" xfId="0" applyNumberFormat="1"/>
    <xf numFmtId="164" fontId="0" fillId="0" borderId="0" xfId="0" applyNumberFormat="1" applyAlignment="1">
      <alignment horizontal="center"/>
    </xf>
    <xf numFmtId="0" fontId="11" fillId="0" borderId="3" xfId="0" applyFont="1" applyBorder="1"/>
    <xf numFmtId="0" fontId="12" fillId="0" borderId="0" xfId="0" applyFont="1" applyFill="1" applyBorder="1"/>
    <xf numFmtId="0" fontId="2" fillId="0" borderId="1" xfId="0" applyFont="1" applyFill="1" applyBorder="1" applyAlignment="1">
      <alignment horizontal="center"/>
    </xf>
    <xf numFmtId="0" fontId="0" fillId="0" borderId="1" xfId="0" applyFont="1" applyFill="1" applyBorder="1"/>
    <xf numFmtId="0" fontId="13" fillId="0" borderId="0" xfId="0" applyFont="1" applyAlignment="1"/>
    <xf numFmtId="164" fontId="0" fillId="0" borderId="0" xfId="0" applyNumberFormat="1" applyFont="1" applyAlignment="1">
      <alignment wrapText="1"/>
    </xf>
    <xf numFmtId="0" fontId="0" fillId="0" borderId="4" xfId="0" applyBorder="1"/>
    <xf numFmtId="0" fontId="0" fillId="0" borderId="0" xfId="0"/>
    <xf numFmtId="3" fontId="0" fillId="0" borderId="0" xfId="0" applyNumberFormat="1"/>
    <xf numFmtId="0" fontId="14" fillId="0" borderId="0" xfId="0" applyFont="1" applyFill="1"/>
    <xf numFmtId="0" fontId="8" fillId="0" borderId="3" xfId="0" applyFont="1" applyFill="1" applyBorder="1"/>
    <xf numFmtId="0" fontId="2" fillId="0" borderId="3" xfId="0" applyFont="1" applyFill="1" applyBorder="1" applyAlignment="1">
      <alignment horizontal="left"/>
    </xf>
    <xf numFmtId="0" fontId="1" fillId="0" borderId="0" xfId="0" applyFont="1" applyBorder="1" applyAlignment="1">
      <alignment wrapText="1"/>
    </xf>
    <xf numFmtId="1" fontId="0" fillId="0" borderId="0" xfId="0" applyNumberFormat="1" applyAlignment="1">
      <alignment horizontal="center"/>
    </xf>
    <xf numFmtId="0" fontId="6" fillId="0" borderId="0" xfId="0" applyFont="1" applyAlignment="1">
      <alignment horizontal="center"/>
    </xf>
    <xf numFmtId="0" fontId="1" fillId="2" borderId="0" xfId="0" applyFont="1" applyFill="1"/>
    <xf numFmtId="0" fontId="0" fillId="2" borderId="0" xfId="0" applyFill="1"/>
    <xf numFmtId="168" fontId="1" fillId="0" borderId="0" xfId="0" applyNumberFormat="1" applyFont="1" applyBorder="1"/>
    <xf numFmtId="1" fontId="0" fillId="0" borderId="0" xfId="0" applyNumberFormat="1" applyAlignment="1">
      <alignment horizontal="center" vertical="center"/>
    </xf>
    <xf numFmtId="1" fontId="1" fillId="0" borderId="0" xfId="0" applyNumberFormat="1" applyFont="1" applyBorder="1" applyAlignment="1">
      <alignment horizontal="center"/>
    </xf>
    <xf numFmtId="0" fontId="16" fillId="0" borderId="0" xfId="3" applyFont="1" applyAlignment="1">
      <alignment wrapText="1"/>
    </xf>
    <xf numFmtId="0" fontId="17" fillId="0" borderId="0" xfId="0" applyFont="1"/>
    <xf numFmtId="0" fontId="18" fillId="0" borderId="0" xfId="0" applyFont="1" applyFill="1" applyBorder="1" applyAlignment="1">
      <alignment horizontal="left"/>
    </xf>
    <xf numFmtId="0" fontId="19" fillId="0" borderId="0" xfId="0" applyFont="1" applyFill="1"/>
    <xf numFmtId="0" fontId="18" fillId="0" borderId="0" xfId="0" applyFont="1" applyFill="1" applyBorder="1"/>
    <xf numFmtId="0" fontId="15" fillId="0" borderId="0" xfId="0" applyFont="1" applyFill="1" applyBorder="1"/>
    <xf numFmtId="0" fontId="0" fillId="0" borderId="0" xfId="0" applyAlignment="1">
      <alignment horizontal="center" vertical="center"/>
    </xf>
    <xf numFmtId="0" fontId="0" fillId="0" borderId="0" xfId="0"/>
    <xf numFmtId="0" fontId="7" fillId="0" borderId="0" xfId="3"/>
    <xf numFmtId="0" fontId="0" fillId="0" borderId="1" xfId="0" applyBorder="1"/>
    <xf numFmtId="168" fontId="1" fillId="0" borderId="0" xfId="0" applyNumberFormat="1" applyFont="1"/>
    <xf numFmtId="0" fontId="20" fillId="0" borderId="0" xfId="0" applyFont="1" applyBorder="1"/>
    <xf numFmtId="169" fontId="1" fillId="0" borderId="0" xfId="0" applyNumberFormat="1" applyFont="1" applyAlignment="1">
      <alignment wrapText="1"/>
    </xf>
    <xf numFmtId="0" fontId="21" fillId="0" borderId="0" xfId="0" applyFont="1"/>
    <xf numFmtId="0" fontId="1" fillId="0" borderId="1" xfId="0" applyFont="1" applyBorder="1" applyAlignment="1">
      <alignment horizontal="center"/>
    </xf>
    <xf numFmtId="0" fontId="0" fillId="0" borderId="0" xfId="0" applyFill="1" applyAlignment="1">
      <alignment horizontal="center"/>
    </xf>
    <xf numFmtId="0" fontId="1" fillId="0" borderId="0" xfId="0" applyFont="1" applyBorder="1" applyAlignment="1">
      <alignment horizontal="center"/>
    </xf>
    <xf numFmtId="1" fontId="0" fillId="0" borderId="0" xfId="0" applyNumberFormat="1" applyBorder="1" applyAlignment="1">
      <alignment horizontal="center"/>
    </xf>
    <xf numFmtId="164" fontId="0" fillId="0" borderId="0" xfId="0" applyNumberFormat="1" applyFont="1" applyBorder="1" applyAlignment="1">
      <alignment horizontal="center"/>
    </xf>
    <xf numFmtId="9" fontId="0" fillId="0" borderId="0" xfId="4" applyFont="1" applyBorder="1"/>
    <xf numFmtId="0" fontId="3" fillId="4" borderId="1" xfId="0" applyFont="1" applyFill="1" applyBorder="1" applyAlignment="1">
      <alignment horizontal="left"/>
    </xf>
    <xf numFmtId="0" fontId="3" fillId="4" borderId="1" xfId="0" applyFont="1" applyFill="1" applyBorder="1" applyAlignment="1">
      <alignment horizontal="center"/>
    </xf>
    <xf numFmtId="0" fontId="0" fillId="4" borderId="0" xfId="0" applyFill="1"/>
    <xf numFmtId="0" fontId="3" fillId="4" borderId="0" xfId="0" applyFont="1" applyFill="1" applyBorder="1"/>
    <xf numFmtId="0" fontId="0" fillId="4" borderId="0" xfId="0" applyFill="1" applyBorder="1"/>
    <xf numFmtId="0" fontId="3" fillId="4" borderId="1" xfId="0" applyFont="1" applyFill="1" applyBorder="1" applyAlignment="1">
      <alignment horizontal="center" vertical="center"/>
    </xf>
    <xf numFmtId="0" fontId="0" fillId="4" borderId="1" xfId="0" applyFill="1" applyBorder="1"/>
    <xf numFmtId="0" fontId="1" fillId="4" borderId="1" xfId="0" applyFont="1" applyFill="1" applyBorder="1" applyAlignment="1">
      <alignment horizontal="center" wrapText="1"/>
    </xf>
    <xf numFmtId="0" fontId="1" fillId="4" borderId="1" xfId="0" applyFont="1" applyFill="1" applyBorder="1" applyAlignment="1">
      <alignment horizontal="center"/>
    </xf>
    <xf numFmtId="0" fontId="1" fillId="4" borderId="6" xfId="0" applyFont="1" applyFill="1" applyBorder="1" applyAlignment="1">
      <alignment horizontal="center" wrapText="1"/>
    </xf>
    <xf numFmtId="165" fontId="0" fillId="0" borderId="0" xfId="0" applyNumberFormat="1" applyBorder="1"/>
    <xf numFmtId="164" fontId="0" fillId="0" borderId="0" xfId="0" applyNumberFormat="1" applyBorder="1" applyAlignment="1">
      <alignment horizontal="center"/>
    </xf>
    <xf numFmtId="1" fontId="0" fillId="0" borderId="0" xfId="0" applyNumberFormat="1" applyBorder="1"/>
    <xf numFmtId="0" fontId="1" fillId="4" borderId="7" xfId="0" applyFont="1" applyFill="1" applyBorder="1" applyAlignment="1">
      <alignment horizontal="center" wrapText="1"/>
    </xf>
    <xf numFmtId="164" fontId="0" fillId="0" borderId="7" xfId="0" applyNumberFormat="1" applyBorder="1" applyAlignment="1">
      <alignment horizontal="center"/>
    </xf>
    <xf numFmtId="170" fontId="0" fillId="0" borderId="0" xfId="0" applyNumberFormat="1" applyFont="1" applyBorder="1" applyAlignment="1">
      <alignment horizontal="center"/>
    </xf>
    <xf numFmtId="170" fontId="0" fillId="0" borderId="0" xfId="0" applyNumberFormat="1" applyBorder="1" applyAlignment="1">
      <alignment horizontal="center"/>
    </xf>
    <xf numFmtId="164" fontId="1" fillId="4" borderId="6" xfId="0" applyNumberFormat="1" applyFont="1" applyFill="1" applyBorder="1" applyAlignment="1">
      <alignment horizontal="center" wrapText="1"/>
    </xf>
    <xf numFmtId="169" fontId="0" fillId="4" borderId="1" xfId="0" applyNumberFormat="1" applyFill="1" applyBorder="1"/>
    <xf numFmtId="169" fontId="0" fillId="3" borderId="1" xfId="0" applyNumberFormat="1" applyFill="1" applyBorder="1"/>
    <xf numFmtId="0" fontId="1" fillId="4" borderId="7" xfId="0" applyFont="1" applyFill="1" applyBorder="1"/>
    <xf numFmtId="0" fontId="1" fillId="4" borderId="7" xfId="0" applyFont="1" applyFill="1" applyBorder="1" applyAlignment="1">
      <alignment horizontal="center"/>
    </xf>
    <xf numFmtId="0" fontId="3" fillId="4" borderId="1" xfId="0" applyFont="1" applyFill="1" applyBorder="1"/>
    <xf numFmtId="0" fontId="1" fillId="4" borderId="7" xfId="0" applyFont="1" applyFill="1" applyBorder="1" applyAlignment="1">
      <alignment horizontal="center" vertical="center"/>
    </xf>
    <xf numFmtId="9" fontId="0" fillId="2" borderId="7" xfId="4" applyFont="1" applyFill="1" applyBorder="1" applyAlignment="1">
      <alignment horizontal="center"/>
    </xf>
    <xf numFmtId="0" fontId="1" fillId="2" borderId="7" xfId="0" applyFont="1" applyFill="1" applyBorder="1" applyAlignment="1">
      <alignment horizontal="left"/>
    </xf>
    <xf numFmtId="169" fontId="0" fillId="2" borderId="7" xfId="0" applyNumberFormat="1" applyFill="1" applyBorder="1" applyAlignment="1">
      <alignment horizontal="center"/>
    </xf>
    <xf numFmtId="0" fontId="24" fillId="0" borderId="0" xfId="0" applyFont="1" applyFill="1" applyBorder="1"/>
    <xf numFmtId="164" fontId="0" fillId="0" borderId="7" xfId="0" applyNumberFormat="1" applyFont="1" applyBorder="1" applyAlignment="1">
      <alignment wrapText="1"/>
    </xf>
    <xf numFmtId="0" fontId="0" fillId="0" borderId="7" xfId="0" applyBorder="1"/>
    <xf numFmtId="2" fontId="0" fillId="0" borderId="0" xfId="0" applyNumberFormat="1" applyAlignment="1">
      <alignment horizontal="center"/>
    </xf>
    <xf numFmtId="0" fontId="0" fillId="0" borderId="0" xfId="0" applyFont="1"/>
    <xf numFmtId="0" fontId="1" fillId="0" borderId="7" xfId="0" applyFont="1" applyBorder="1"/>
    <xf numFmtId="170" fontId="0" fillId="0" borderId="7" xfId="0" applyNumberFormat="1" applyBorder="1" applyAlignment="1">
      <alignment horizontal="center"/>
    </xf>
    <xf numFmtId="170" fontId="0" fillId="0" borderId="4" xfId="0" applyNumberFormat="1" applyBorder="1" applyAlignment="1">
      <alignment horizontal="center"/>
    </xf>
    <xf numFmtId="169" fontId="0" fillId="2" borderId="7" xfId="4" applyNumberFormat="1" applyFont="1" applyFill="1" applyBorder="1" applyAlignment="1">
      <alignment horizontal="center"/>
    </xf>
    <xf numFmtId="171" fontId="0" fillId="0" borderId="7" xfId="0" applyNumberFormat="1" applyBorder="1" applyAlignment="1">
      <alignment horizontal="center"/>
    </xf>
    <xf numFmtId="0" fontId="1" fillId="4" borderId="6" xfId="0" applyFont="1" applyFill="1" applyBorder="1"/>
    <xf numFmtId="0" fontId="1" fillId="4" borderId="8" xfId="0" applyFont="1" applyFill="1" applyBorder="1" applyAlignment="1">
      <alignment horizontal="center" wrapText="1"/>
    </xf>
    <xf numFmtId="170" fontId="0" fillId="0" borderId="9" xfId="0" applyNumberFormat="1" applyBorder="1" applyAlignment="1">
      <alignment horizontal="center"/>
    </xf>
    <xf numFmtId="0" fontId="0" fillId="0" borderId="5" xfId="0" applyBorder="1"/>
    <xf numFmtId="170" fontId="0" fillId="0" borderId="5" xfId="0" applyNumberFormat="1" applyBorder="1" applyAlignment="1">
      <alignment horizontal="center"/>
    </xf>
    <xf numFmtId="170" fontId="0" fillId="0" borderId="2" xfId="0" applyNumberFormat="1" applyBorder="1" applyAlignment="1">
      <alignment horizontal="center"/>
    </xf>
    <xf numFmtId="170" fontId="0" fillId="0" borderId="10" xfId="0" applyNumberFormat="1" applyBorder="1" applyAlignment="1">
      <alignment horizontal="center"/>
    </xf>
    <xf numFmtId="166" fontId="3" fillId="0" borderId="1" xfId="0" applyNumberFormat="1" applyFont="1" applyFill="1" applyBorder="1"/>
    <xf numFmtId="166" fontId="0" fillId="0" borderId="1" xfId="0" applyNumberFormat="1" applyFill="1" applyBorder="1"/>
    <xf numFmtId="166" fontId="0" fillId="0" borderId="0" xfId="0" applyNumberFormat="1" applyFill="1" applyBorder="1"/>
    <xf numFmtId="170" fontId="2" fillId="0" borderId="0" xfId="5" applyNumberFormat="1" applyFont="1" applyFill="1" applyBorder="1" applyAlignment="1">
      <alignment horizontal="center"/>
    </xf>
    <xf numFmtId="170" fontId="0" fillId="0" borderId="7" xfId="0" applyNumberFormat="1" applyBorder="1" applyAlignment="1">
      <alignment horizontal="center" vertical="center"/>
    </xf>
    <xf numFmtId="0" fontId="2" fillId="4" borderId="6" xfId="0" applyFont="1" applyFill="1" applyBorder="1" applyAlignment="1">
      <alignment horizontal="center" vertical="center"/>
    </xf>
    <xf numFmtId="166" fontId="3" fillId="4" borderId="1" xfId="0" applyNumberFormat="1" applyFont="1" applyFill="1" applyBorder="1"/>
    <xf numFmtId="0" fontId="2" fillId="4" borderId="6" xfId="0" applyFont="1" applyFill="1" applyBorder="1" applyAlignment="1">
      <alignment horizontal="center"/>
    </xf>
    <xf numFmtId="170" fontId="0" fillId="0" borderId="7" xfId="5" applyNumberFormat="1" applyFont="1" applyBorder="1" applyAlignment="1">
      <alignment horizontal="center"/>
    </xf>
    <xf numFmtId="0" fontId="27" fillId="0" borderId="0" xfId="0" applyFont="1" applyAlignment="1"/>
    <xf numFmtId="164" fontId="0" fillId="0" borderId="9" xfId="0" applyNumberFormat="1" applyFont="1" applyBorder="1" applyAlignment="1">
      <alignment horizontal="center"/>
    </xf>
    <xf numFmtId="164" fontId="0" fillId="0" borderId="10" xfId="0" applyNumberFormat="1" applyFont="1" applyBorder="1" applyAlignment="1">
      <alignment horizontal="center"/>
    </xf>
    <xf numFmtId="164" fontId="0" fillId="0" borderId="4" xfId="0" applyNumberFormat="1" applyFont="1" applyBorder="1" applyAlignment="1">
      <alignment horizontal="center"/>
    </xf>
    <xf numFmtId="0" fontId="2" fillId="0" borderId="0" xfId="7" applyNumberFormat="1"/>
    <xf numFmtId="0" fontId="2" fillId="0" borderId="0" xfId="7"/>
    <xf numFmtId="172" fontId="2" fillId="0" borderId="0" xfId="7" applyNumberFormat="1"/>
    <xf numFmtId="2" fontId="2" fillId="0" borderId="0" xfId="7" applyNumberFormat="1"/>
    <xf numFmtId="170" fontId="2" fillId="0" borderId="0" xfId="7" applyNumberFormat="1"/>
    <xf numFmtId="166" fontId="1" fillId="3" borderId="1" xfId="0" applyNumberFormat="1" applyFont="1" applyFill="1" applyBorder="1" applyAlignment="1">
      <alignment horizontal="center"/>
    </xf>
    <xf numFmtId="0" fontId="28" fillId="0" borderId="0" xfId="0" applyFont="1"/>
    <xf numFmtId="164" fontId="0" fillId="0" borderId="0" xfId="0" applyNumberFormat="1" applyBorder="1"/>
    <xf numFmtId="10" fontId="0" fillId="0" borderId="0" xfId="0" applyNumberFormat="1" applyBorder="1"/>
    <xf numFmtId="9" fontId="0" fillId="0" borderId="7" xfId="4" applyFont="1" applyBorder="1" applyAlignment="1">
      <alignment horizontal="center"/>
    </xf>
    <xf numFmtId="0" fontId="0" fillId="0" borderId="7" xfId="0" applyBorder="1" applyAlignment="1">
      <alignment horizontal="center"/>
    </xf>
    <xf numFmtId="0" fontId="1" fillId="4" borderId="8" xfId="0" applyFont="1" applyFill="1" applyBorder="1" applyAlignment="1">
      <alignment horizontal="center"/>
    </xf>
    <xf numFmtId="0" fontId="0" fillId="0" borderId="14" xfId="0" applyBorder="1"/>
    <xf numFmtId="169" fontId="1" fillId="0" borderId="12" xfId="0" applyNumberFormat="1" applyFont="1" applyBorder="1"/>
    <xf numFmtId="169" fontId="1" fillId="0" borderId="2" xfId="0" applyNumberFormat="1" applyFont="1" applyBorder="1" applyAlignment="1">
      <alignment wrapText="1"/>
    </xf>
    <xf numFmtId="169" fontId="1" fillId="0" borderId="10" xfId="0" applyNumberFormat="1" applyFont="1" applyBorder="1"/>
    <xf numFmtId="9" fontId="1" fillId="3" borderId="8" xfId="4" applyFont="1" applyFill="1" applyBorder="1" applyAlignment="1">
      <alignment horizontal="center"/>
    </xf>
    <xf numFmtId="0" fontId="1" fillId="4" borderId="6" xfId="0" applyFont="1" applyFill="1" applyBorder="1" applyAlignment="1">
      <alignment horizontal="center" vertical="center"/>
    </xf>
    <xf numFmtId="0" fontId="1" fillId="3" borderId="6" xfId="0" applyFont="1" applyFill="1" applyBorder="1"/>
    <xf numFmtId="164" fontId="1" fillId="3" borderId="8" xfId="4" applyNumberFormat="1" applyFont="1" applyFill="1" applyBorder="1" applyAlignment="1">
      <alignment horizontal="center"/>
    </xf>
    <xf numFmtId="0" fontId="1" fillId="2" borderId="4" xfId="0" applyFont="1" applyFill="1" applyBorder="1"/>
    <xf numFmtId="169" fontId="0" fillId="2" borderId="0" xfId="0" applyNumberFormat="1" applyFill="1" applyBorder="1"/>
    <xf numFmtId="164" fontId="1" fillId="0" borderId="9" xfId="4" applyNumberFormat="1" applyFont="1" applyBorder="1" applyAlignment="1">
      <alignment horizontal="center"/>
    </xf>
    <xf numFmtId="0" fontId="3" fillId="4" borderId="6" xfId="0" applyFont="1" applyFill="1" applyBorder="1" applyAlignment="1">
      <alignment horizontal="center" vertical="center"/>
    </xf>
    <xf numFmtId="0" fontId="3" fillId="4" borderId="8" xfId="0" applyFont="1" applyFill="1"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1" fillId="4" borderId="6" xfId="0" applyFont="1" applyFill="1" applyBorder="1" applyAlignment="1">
      <alignment wrapText="1"/>
    </xf>
    <xf numFmtId="164" fontId="0" fillId="0" borderId="5" xfId="0" applyNumberFormat="1" applyFont="1" applyBorder="1" applyAlignment="1">
      <alignment horizontal="center"/>
    </xf>
    <xf numFmtId="0" fontId="1" fillId="4" borderId="6" xfId="0" applyFont="1" applyFill="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6" fillId="4" borderId="8" xfId="0" applyFont="1" applyFill="1" applyBorder="1" applyAlignment="1">
      <alignment horizontal="center"/>
    </xf>
    <xf numFmtId="169" fontId="0" fillId="0" borderId="0" xfId="0" applyNumberFormat="1" applyBorder="1" applyAlignment="1">
      <alignment horizontal="center"/>
    </xf>
    <xf numFmtId="164" fontId="0" fillId="0" borderId="11" xfId="4" applyNumberFormat="1" applyFont="1"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 fontId="1" fillId="0" borderId="0" xfId="0" applyNumberFormat="1" applyFont="1" applyAlignment="1">
      <alignment horizontal="left"/>
    </xf>
    <xf numFmtId="164" fontId="0" fillId="0" borderId="7" xfId="4" applyNumberFormat="1" applyFont="1" applyBorder="1" applyAlignment="1">
      <alignment horizontal="center"/>
    </xf>
    <xf numFmtId="164" fontId="0" fillId="0" borderId="0" xfId="0" applyNumberFormat="1" applyFont="1" applyBorder="1" applyAlignment="1">
      <alignment wrapText="1"/>
    </xf>
    <xf numFmtId="0" fontId="20" fillId="0" borderId="0" xfId="0" applyFont="1"/>
    <xf numFmtId="9" fontId="0" fillId="2" borderId="0" xfId="4" applyFont="1" applyFill="1" applyBorder="1" applyAlignment="1">
      <alignment horizontal="center"/>
    </xf>
    <xf numFmtId="0" fontId="3" fillId="4" borderId="6" xfId="0" applyFont="1" applyFill="1" applyBorder="1" applyAlignment="1">
      <alignment horizontal="center"/>
    </xf>
    <xf numFmtId="0" fontId="0" fillId="0" borderId="6" xfId="0" applyBorder="1" applyAlignment="1">
      <alignment horizontal="center"/>
    </xf>
    <xf numFmtId="0" fontId="25" fillId="0" borderId="4" xfId="0" applyFont="1" applyFill="1" applyBorder="1" applyAlignment="1">
      <alignment horizontal="left"/>
    </xf>
    <xf numFmtId="0" fontId="25" fillId="0" borderId="5" xfId="0" applyFont="1" applyFill="1" applyBorder="1" applyAlignment="1">
      <alignment horizontal="left"/>
    </xf>
    <xf numFmtId="0" fontId="1" fillId="4" borderId="7" xfId="0" applyFont="1" applyFill="1" applyBorder="1" applyAlignment="1">
      <alignment horizontal="left" wrapText="1"/>
    </xf>
    <xf numFmtId="0" fontId="1" fillId="4" borderId="7" xfId="0" applyFont="1" applyFill="1" applyBorder="1" applyAlignment="1">
      <alignment horizontal="left" vertical="center" wrapText="1"/>
    </xf>
    <xf numFmtId="0" fontId="1" fillId="4" borderId="7" xfId="0" applyFont="1" applyFill="1" applyBorder="1" applyAlignment="1">
      <alignment horizontal="center" vertical="center" wrapText="1"/>
    </xf>
    <xf numFmtId="0" fontId="1" fillId="4" borderId="7" xfId="0" applyFont="1" applyFill="1" applyBorder="1" applyAlignment="1">
      <alignment horizontal="left" vertical="center"/>
    </xf>
    <xf numFmtId="0" fontId="1" fillId="4" borderId="6" xfId="0" applyFont="1" applyFill="1" applyBorder="1" applyAlignment="1">
      <alignment vertical="center"/>
    </xf>
    <xf numFmtId="164" fontId="1" fillId="4" borderId="6" xfId="0" applyNumberFormat="1" applyFont="1" applyFill="1" applyBorder="1" applyAlignment="1">
      <alignment horizontal="center" vertical="center" wrapText="1"/>
    </xf>
    <xf numFmtId="164" fontId="0" fillId="0" borderId="11" xfId="0" applyNumberFormat="1" applyFont="1" applyBorder="1" applyAlignment="1">
      <alignment horizontal="center"/>
    </xf>
    <xf numFmtId="164" fontId="0" fillId="0" borderId="13" xfId="0" applyNumberFormat="1" applyFont="1" applyBorder="1" applyAlignment="1">
      <alignment horizontal="center"/>
    </xf>
    <xf numFmtId="0" fontId="0" fillId="2" borderId="6" xfId="0" applyFont="1" applyFill="1" applyBorder="1"/>
    <xf numFmtId="164" fontId="1" fillId="2" borderId="6" xfId="4" applyNumberFormat="1" applyFont="1" applyFill="1" applyBorder="1" applyAlignment="1">
      <alignment horizontal="center" vertical="center"/>
    </xf>
    <xf numFmtId="164" fontId="1" fillId="2" borderId="7" xfId="4" applyNumberFormat="1" applyFont="1" applyFill="1" applyBorder="1" applyAlignment="1">
      <alignment horizontal="center" vertical="center"/>
    </xf>
    <xf numFmtId="0" fontId="1" fillId="4" borderId="1" xfId="0" applyFont="1" applyFill="1" applyBorder="1" applyAlignment="1">
      <alignment horizontal="center" vertical="center"/>
    </xf>
    <xf numFmtId="0" fontId="0" fillId="2" borderId="0" xfId="0" applyFont="1" applyFill="1" applyBorder="1"/>
    <xf numFmtId="0" fontId="29" fillId="0" borderId="4" xfId="0" applyFont="1" applyFill="1" applyBorder="1"/>
    <xf numFmtId="0" fontId="29" fillId="3" borderId="6" xfId="0" applyFont="1" applyFill="1" applyBorder="1"/>
    <xf numFmtId="164" fontId="0" fillId="0" borderId="9" xfId="4" applyNumberFormat="1" applyFont="1" applyBorder="1" applyAlignment="1">
      <alignment horizontal="center"/>
    </xf>
    <xf numFmtId="0" fontId="1" fillId="4" borderId="7" xfId="0" applyFont="1" applyFill="1" applyBorder="1" applyAlignment="1">
      <alignment wrapText="1"/>
    </xf>
    <xf numFmtId="166" fontId="0" fillId="0" borderId="0" xfId="0" applyNumberFormat="1" applyAlignment="1">
      <alignment wrapText="1"/>
    </xf>
    <xf numFmtId="168" fontId="0" fillId="0" borderId="0" xfId="0" applyNumberFormat="1" applyAlignment="1">
      <alignment wrapText="1"/>
    </xf>
    <xf numFmtId="9" fontId="0" fillId="0" borderId="15" xfId="4" applyFont="1" applyBorder="1" applyAlignment="1">
      <alignment horizontal="center"/>
    </xf>
    <xf numFmtId="0" fontId="1" fillId="2" borderId="0" xfId="0" applyFont="1" applyFill="1" applyBorder="1" applyAlignment="1">
      <alignment horizontal="left"/>
    </xf>
    <xf numFmtId="169" fontId="0" fillId="2" borderId="0" xfId="4" applyNumberFormat="1" applyFont="1" applyFill="1" applyBorder="1" applyAlignment="1">
      <alignment horizontal="center"/>
    </xf>
    <xf numFmtId="9" fontId="0" fillId="0" borderId="0" xfId="4" applyFont="1" applyBorder="1" applyAlignment="1">
      <alignment horizontal="center"/>
    </xf>
    <xf numFmtId="169" fontId="0" fillId="2" borderId="0" xfId="0" applyNumberFormat="1" applyFill="1" applyBorder="1" applyAlignment="1">
      <alignment horizontal="center"/>
    </xf>
    <xf numFmtId="164" fontId="0" fillId="2" borderId="7" xfId="4" applyNumberFormat="1" applyFont="1" applyFill="1" applyBorder="1" applyAlignment="1">
      <alignment horizontal="center"/>
    </xf>
    <xf numFmtId="166" fontId="1" fillId="3" borderId="0" xfId="0" applyNumberFormat="1" applyFont="1" applyFill="1" applyBorder="1" applyAlignment="1">
      <alignment horizontal="center"/>
    </xf>
    <xf numFmtId="0" fontId="1" fillId="0" borderId="0" xfId="0" applyFont="1" applyAlignment="1">
      <alignment wrapText="1"/>
    </xf>
    <xf numFmtId="0" fontId="0" fillId="0" borderId="0" xfId="0" applyAlignment="1">
      <alignment horizontal="left" wrapText="1"/>
    </xf>
    <xf numFmtId="0" fontId="1" fillId="0" borderId="0" xfId="0" applyFont="1" applyAlignment="1">
      <alignment wrapText="1"/>
    </xf>
    <xf numFmtId="0" fontId="29" fillId="3" borderId="0" xfId="0" applyFont="1" applyFill="1" applyBorder="1"/>
    <xf numFmtId="166" fontId="1" fillId="3" borderId="0" xfId="5" applyNumberFormat="1" applyFont="1" applyFill="1" applyBorder="1" applyAlignment="1">
      <alignment horizontal="center"/>
    </xf>
    <xf numFmtId="0" fontId="0" fillId="0" borderId="0" xfId="0" applyAlignment="1">
      <alignment horizontal="left" wrapText="1"/>
    </xf>
    <xf numFmtId="0" fontId="1" fillId="0" borderId="0" xfId="0" applyFont="1" applyAlignment="1">
      <alignment wrapText="1"/>
    </xf>
    <xf numFmtId="0" fontId="1" fillId="4" borderId="21" xfId="0" applyFont="1" applyFill="1" applyBorder="1" applyAlignment="1">
      <alignment horizontal="center" vertical="center"/>
    </xf>
    <xf numFmtId="0" fontId="1" fillId="4" borderId="22" xfId="0" applyFont="1" applyFill="1" applyBorder="1" applyAlignment="1">
      <alignment horizontal="center" wrapText="1"/>
    </xf>
    <xf numFmtId="0" fontId="1" fillId="4" borderId="23" xfId="0" applyFont="1" applyFill="1" applyBorder="1" applyAlignment="1">
      <alignment horizontal="center" wrapText="1"/>
    </xf>
    <xf numFmtId="0" fontId="29" fillId="3" borderId="24" xfId="0" applyFont="1" applyFill="1" applyBorder="1"/>
    <xf numFmtId="164" fontId="1" fillId="3" borderId="25" xfId="4" applyNumberFormat="1" applyFont="1" applyFill="1" applyBorder="1" applyAlignment="1">
      <alignment horizontal="center"/>
    </xf>
    <xf numFmtId="169" fontId="1" fillId="0" borderId="16" xfId="0" applyNumberFormat="1" applyFont="1" applyBorder="1"/>
    <xf numFmtId="169" fontId="0" fillId="0" borderId="0" xfId="0" applyNumberFormat="1" applyFont="1" applyBorder="1"/>
    <xf numFmtId="169" fontId="1" fillId="0" borderId="18" xfId="0" applyNumberFormat="1" applyFont="1" applyBorder="1"/>
    <xf numFmtId="169" fontId="0" fillId="0" borderId="19" xfId="0" applyNumberFormat="1" applyFont="1" applyBorder="1"/>
    <xf numFmtId="0" fontId="1" fillId="4" borderId="21" xfId="0" applyFont="1" applyFill="1" applyBorder="1" applyAlignment="1">
      <alignment vertical="center"/>
    </xf>
    <xf numFmtId="169" fontId="1" fillId="4" borderId="22" xfId="0" applyNumberFormat="1" applyFont="1" applyFill="1" applyBorder="1" applyAlignment="1">
      <alignment horizontal="center" vertical="center"/>
    </xf>
    <xf numFmtId="0" fontId="29" fillId="0" borderId="16" xfId="0" applyFont="1" applyFill="1" applyBorder="1"/>
    <xf numFmtId="169" fontId="0" fillId="0" borderId="17" xfId="5" applyNumberFormat="1" applyFont="1" applyBorder="1" applyAlignment="1">
      <alignment horizontal="center"/>
    </xf>
    <xf numFmtId="166" fontId="0" fillId="0" borderId="17" xfId="5" applyNumberFormat="1" applyFont="1" applyBorder="1" applyAlignment="1">
      <alignment horizontal="center"/>
    </xf>
    <xf numFmtId="166" fontId="1" fillId="3" borderId="27" xfId="0" applyNumberFormat="1" applyFont="1" applyFill="1" applyBorder="1" applyAlignment="1">
      <alignment horizontal="center"/>
    </xf>
    <xf numFmtId="166" fontId="1" fillId="3" borderId="28" xfId="0" applyNumberFormat="1" applyFont="1" applyFill="1" applyBorder="1" applyAlignment="1">
      <alignment horizontal="center"/>
    </xf>
    <xf numFmtId="0" fontId="32" fillId="0" borderId="0" xfId="0" applyFont="1" applyAlignment="1">
      <alignment horizontal="left" wrapText="1"/>
    </xf>
    <xf numFmtId="169" fontId="0" fillId="0" borderId="0" xfId="0" applyNumberFormat="1" applyAlignment="1">
      <alignment horizontal="left" wrapText="1"/>
    </xf>
    <xf numFmtId="169" fontId="0" fillId="3" borderId="25" xfId="0" applyNumberFormat="1" applyFill="1" applyBorder="1"/>
    <xf numFmtId="169" fontId="0" fillId="0" borderId="17" xfId="0" applyNumberFormat="1" applyFont="1" applyBorder="1"/>
    <xf numFmtId="169" fontId="0" fillId="0" borderId="20" xfId="0" applyNumberFormat="1" applyFont="1" applyBorder="1"/>
    <xf numFmtId="166" fontId="0" fillId="0" borderId="0" xfId="0" applyNumberFormat="1" applyBorder="1"/>
    <xf numFmtId="169" fontId="1" fillId="0" borderId="0" xfId="0" applyNumberFormat="1" applyFont="1" applyBorder="1"/>
    <xf numFmtId="169" fontId="1" fillId="4" borderId="23" xfId="0" applyNumberFormat="1" applyFont="1" applyFill="1" applyBorder="1" applyAlignment="1">
      <alignment horizontal="center" vertical="center"/>
    </xf>
    <xf numFmtId="169" fontId="0" fillId="3" borderId="1" xfId="0" applyNumberFormat="1" applyFill="1" applyBorder="1" applyAlignment="1">
      <alignment horizontal="center"/>
    </xf>
    <xf numFmtId="0" fontId="1" fillId="4" borderId="22" xfId="0" applyNumberFormat="1" applyFont="1" applyFill="1" applyBorder="1" applyAlignment="1">
      <alignment horizontal="center" vertical="center"/>
    </xf>
    <xf numFmtId="164" fontId="1" fillId="0" borderId="17" xfId="4" applyNumberFormat="1" applyFont="1" applyBorder="1" applyAlignment="1">
      <alignment horizontal="center"/>
    </xf>
    <xf numFmtId="164" fontId="1" fillId="0" borderId="20" xfId="4" applyNumberFormat="1" applyFont="1" applyBorder="1" applyAlignment="1">
      <alignment horizontal="center"/>
    </xf>
    <xf numFmtId="169" fontId="0" fillId="0" borderId="0" xfId="0" applyNumberFormat="1"/>
    <xf numFmtId="0" fontId="34" fillId="0" borderId="0" xfId="0" applyFont="1"/>
    <xf numFmtId="0" fontId="9" fillId="0" borderId="19" xfId="0" applyFont="1" applyBorder="1"/>
    <xf numFmtId="0" fontId="9" fillId="0" borderId="2" xfId="0" applyFont="1" applyBorder="1"/>
    <xf numFmtId="0" fontId="14" fillId="0" borderId="0" xfId="0" applyFont="1"/>
    <xf numFmtId="0" fontId="14" fillId="0" borderId="0" xfId="0" applyFont="1" applyAlignment="1">
      <alignment horizontal="left"/>
    </xf>
    <xf numFmtId="0" fontId="9" fillId="0" borderId="0" xfId="0" applyFont="1" applyAlignment="1">
      <alignment horizontal="right"/>
    </xf>
    <xf numFmtId="41" fontId="9" fillId="0" borderId="0" xfId="9" applyFont="1" applyAlignment="1">
      <alignment horizontal="right"/>
    </xf>
    <xf numFmtId="41" fontId="0" fillId="0" borderId="0" xfId="0" applyNumberFormat="1"/>
    <xf numFmtId="0" fontId="9" fillId="0" borderId="0" xfId="0" applyFont="1" applyAlignment="1">
      <alignment horizontal="left"/>
    </xf>
    <xf numFmtId="41" fontId="2" fillId="0" borderId="0" xfId="9" applyFont="1" applyFill="1" applyAlignment="1">
      <alignment horizontal="right"/>
    </xf>
    <xf numFmtId="173" fontId="9" fillId="0" borderId="0" xfId="0" applyNumberFormat="1" applyFont="1"/>
    <xf numFmtId="0" fontId="14" fillId="0" borderId="19" xfId="0" applyFont="1" applyBorder="1"/>
    <xf numFmtId="173" fontId="2" fillId="0" borderId="19" xfId="8" applyNumberFormat="1" applyFont="1" applyFill="1" applyBorder="1"/>
    <xf numFmtId="0" fontId="9" fillId="0" borderId="0" xfId="0" applyFont="1" applyAlignment="1">
      <alignment horizontal="center"/>
    </xf>
    <xf numFmtId="173" fontId="9" fillId="0" borderId="0" xfId="0" applyNumberFormat="1" applyFont="1" applyAlignment="1">
      <alignment horizontal="right"/>
    </xf>
    <xf numFmtId="173" fontId="2" fillId="0" borderId="19" xfId="8" applyNumberFormat="1" applyFont="1" applyFill="1" applyBorder="1" applyAlignment="1">
      <alignment horizontal="right"/>
    </xf>
    <xf numFmtId="0" fontId="25" fillId="5" borderId="18" xfId="0" applyFont="1" applyFill="1" applyBorder="1"/>
    <xf numFmtId="169" fontId="1" fillId="5" borderId="19" xfId="0" applyNumberFormat="1" applyFont="1" applyFill="1" applyBorder="1" applyAlignment="1">
      <alignment horizontal="center"/>
    </xf>
    <xf numFmtId="9" fontId="1" fillId="5" borderId="20" xfId="4" applyFont="1" applyFill="1" applyBorder="1" applyAlignment="1">
      <alignment horizontal="center"/>
    </xf>
    <xf numFmtId="169" fontId="0" fillId="0" borderId="9" xfId="0" applyNumberFormat="1" applyBorder="1" applyAlignment="1">
      <alignment horizontal="center"/>
    </xf>
    <xf numFmtId="169" fontId="6" fillId="4" borderId="8" xfId="0" applyNumberFormat="1" applyFont="1" applyFill="1" applyBorder="1" applyAlignment="1">
      <alignment horizontal="center"/>
    </xf>
    <xf numFmtId="169" fontId="6" fillId="0" borderId="0" xfId="0" applyNumberFormat="1" applyFont="1" applyAlignment="1">
      <alignment horizontal="center"/>
    </xf>
    <xf numFmtId="169" fontId="0" fillId="0" borderId="0" xfId="0" applyNumberFormat="1" applyAlignment="1">
      <alignment horizontal="center"/>
    </xf>
    <xf numFmtId="169" fontId="0" fillId="0" borderId="9" xfId="0" applyNumberFormat="1" applyFont="1" applyBorder="1" applyAlignment="1">
      <alignment horizontal="center"/>
    </xf>
    <xf numFmtId="169" fontId="1" fillId="3" borderId="8" xfId="0" applyNumberFormat="1" applyFont="1" applyFill="1" applyBorder="1" applyAlignment="1">
      <alignment horizontal="center"/>
    </xf>
    <xf numFmtId="0" fontId="25" fillId="0" borderId="6" xfId="0" applyFont="1" applyBorder="1"/>
    <xf numFmtId="169" fontId="25" fillId="0" borderId="8" xfId="0" applyNumberFormat="1" applyFont="1" applyBorder="1"/>
    <xf numFmtId="0" fontId="1" fillId="4" borderId="21" xfId="0" applyFont="1" applyFill="1" applyBorder="1"/>
    <xf numFmtId="0" fontId="1" fillId="4" borderId="22" xfId="0" applyFont="1" applyFill="1" applyBorder="1" applyAlignment="1">
      <alignment horizontal="center"/>
    </xf>
    <xf numFmtId="0" fontId="1" fillId="4" borderId="23" xfId="0" applyFont="1" applyFill="1" applyBorder="1" applyAlignment="1">
      <alignment horizontal="center"/>
    </xf>
    <xf numFmtId="0" fontId="0" fillId="0" borderId="29" xfId="0" applyBorder="1"/>
    <xf numFmtId="169" fontId="1" fillId="0" borderId="30" xfId="0" applyNumberFormat="1" applyFont="1" applyBorder="1"/>
    <xf numFmtId="0" fontId="0" fillId="0" borderId="18" xfId="0" applyBorder="1"/>
    <xf numFmtId="169" fontId="1" fillId="0" borderId="19" xfId="0" applyNumberFormat="1" applyFont="1" applyBorder="1" applyAlignment="1">
      <alignment wrapText="1"/>
    </xf>
    <xf numFmtId="169" fontId="1" fillId="0" borderId="20" xfId="0" applyNumberFormat="1" applyFont="1" applyBorder="1" applyAlignment="1">
      <alignment wrapText="1"/>
    </xf>
    <xf numFmtId="169" fontId="1" fillId="0" borderId="0" xfId="0" applyNumberFormat="1" applyFont="1" applyBorder="1" applyAlignment="1">
      <alignment wrapText="1"/>
    </xf>
    <xf numFmtId="0" fontId="0" fillId="0" borderId="16" xfId="0" applyBorder="1"/>
    <xf numFmtId="169" fontId="1" fillId="0" borderId="17" xfId="0" applyNumberFormat="1" applyFont="1" applyBorder="1"/>
    <xf numFmtId="0" fontId="1" fillId="2" borderId="7" xfId="0" applyFont="1" applyFill="1" applyBorder="1"/>
    <xf numFmtId="169" fontId="0" fillId="2" borderId="7" xfId="0" applyNumberFormat="1" applyFill="1" applyBorder="1"/>
    <xf numFmtId="0" fontId="1" fillId="5" borderId="6" xfId="0" applyFont="1" applyFill="1" applyBorder="1"/>
    <xf numFmtId="0" fontId="1" fillId="5" borderId="7" xfId="0" applyFont="1" applyFill="1" applyBorder="1" applyAlignment="1">
      <alignment horizontal="center" wrapText="1"/>
    </xf>
    <xf numFmtId="164" fontId="0" fillId="0" borderId="13" xfId="4" applyNumberFormat="1" applyFont="1" applyBorder="1" applyAlignment="1">
      <alignment horizontal="center"/>
    </xf>
    <xf numFmtId="0" fontId="0" fillId="0" borderId="0" xfId="0" applyAlignment="1">
      <alignment horizontal="right"/>
    </xf>
    <xf numFmtId="164" fontId="1" fillId="2" borderId="0" xfId="4" applyNumberFormat="1" applyFont="1" applyFill="1" applyBorder="1" applyAlignment="1">
      <alignment horizontal="center" vertical="center"/>
    </xf>
    <xf numFmtId="0" fontId="1" fillId="6" borderId="5" xfId="0" applyFont="1" applyFill="1" applyBorder="1"/>
    <xf numFmtId="169" fontId="1" fillId="4" borderId="7" xfId="0" applyNumberFormat="1" applyFont="1" applyFill="1" applyBorder="1" applyAlignment="1">
      <alignment horizontal="center" vertical="center"/>
    </xf>
    <xf numFmtId="169" fontId="0" fillId="0" borderId="7" xfId="0" applyNumberFormat="1" applyBorder="1" applyAlignment="1">
      <alignment horizontal="center"/>
    </xf>
    <xf numFmtId="166" fontId="0" fillId="0" borderId="7" xfId="0" applyNumberFormat="1" applyBorder="1"/>
    <xf numFmtId="166" fontId="0" fillId="0" borderId="7" xfId="5" applyNumberFormat="1" applyFont="1" applyBorder="1" applyAlignment="1">
      <alignment horizontal="center"/>
    </xf>
    <xf numFmtId="169" fontId="1" fillId="3" borderId="7" xfId="0" applyNumberFormat="1" applyFont="1" applyFill="1" applyBorder="1"/>
    <xf numFmtId="169" fontId="0" fillId="0" borderId="9" xfId="4" applyNumberFormat="1" applyFont="1" applyBorder="1" applyAlignment="1">
      <alignment horizontal="center"/>
    </xf>
    <xf numFmtId="169" fontId="1" fillId="3" borderId="8" xfId="4" applyNumberFormat="1" applyFont="1" applyFill="1" applyBorder="1" applyAlignment="1">
      <alignment horizontal="center"/>
    </xf>
    <xf numFmtId="0" fontId="35" fillId="0" borderId="4" xfId="0" applyFont="1" applyFill="1" applyBorder="1" applyAlignment="1">
      <alignment wrapText="1"/>
    </xf>
    <xf numFmtId="166" fontId="0" fillId="0" borderId="0" xfId="0" applyNumberFormat="1" applyFont="1" applyBorder="1" applyAlignment="1">
      <alignment horizontal="center"/>
    </xf>
    <xf numFmtId="166" fontId="0" fillId="0" borderId="0" xfId="0" applyNumberFormat="1" applyBorder="1" applyAlignment="1">
      <alignment horizontal="center"/>
    </xf>
    <xf numFmtId="0" fontId="29" fillId="7" borderId="4" xfId="0" applyFont="1" applyFill="1" applyBorder="1"/>
    <xf numFmtId="169" fontId="0" fillId="7" borderId="9" xfId="4" applyNumberFormat="1" applyFont="1" applyFill="1" applyBorder="1" applyAlignment="1">
      <alignment horizontal="center"/>
    </xf>
    <xf numFmtId="166" fontId="1" fillId="6" borderId="7" xfId="4" applyNumberFormat="1" applyFont="1" applyFill="1" applyBorder="1" applyAlignment="1">
      <alignment horizontal="center" vertical="center"/>
    </xf>
    <xf numFmtId="0" fontId="0" fillId="7" borderId="4" xfId="0" applyFont="1" applyFill="1" applyBorder="1" applyAlignment="1">
      <alignment vertical="center"/>
    </xf>
    <xf numFmtId="0" fontId="29" fillId="0" borderId="14" xfId="0" applyFont="1" applyFill="1" applyBorder="1"/>
    <xf numFmtId="169" fontId="0" fillId="0" borderId="12" xfId="4" applyNumberFormat="1" applyFont="1" applyBorder="1" applyAlignment="1">
      <alignment horizontal="center"/>
    </xf>
    <xf numFmtId="169" fontId="0" fillId="7" borderId="0" xfId="0" applyNumberFormat="1" applyFont="1" applyFill="1" applyBorder="1" applyAlignment="1">
      <alignment horizontal="center"/>
    </xf>
    <xf numFmtId="169" fontId="0" fillId="0" borderId="3" xfId="0" applyNumberFormat="1" applyBorder="1" applyAlignment="1">
      <alignment horizontal="center"/>
    </xf>
    <xf numFmtId="169" fontId="0" fillId="0" borderId="0" xfId="0" applyNumberFormat="1" applyFont="1" applyBorder="1" applyAlignment="1">
      <alignment horizontal="center"/>
    </xf>
    <xf numFmtId="0" fontId="29" fillId="7" borderId="7" xfId="0" applyFont="1" applyFill="1" applyBorder="1"/>
    <xf numFmtId="169" fontId="0" fillId="7" borderId="0" xfId="0" applyNumberFormat="1" applyFont="1" applyFill="1" applyBorder="1" applyAlignment="1">
      <alignment horizontal="center" vertical="center"/>
    </xf>
    <xf numFmtId="169" fontId="0" fillId="7" borderId="9" xfId="0" applyNumberFormat="1" applyFont="1" applyFill="1" applyBorder="1" applyAlignment="1">
      <alignment horizontal="center" wrapText="1"/>
    </xf>
    <xf numFmtId="169" fontId="0" fillId="0" borderId="17" xfId="0" applyNumberFormat="1" applyBorder="1"/>
    <xf numFmtId="0" fontId="1" fillId="4" borderId="26" xfId="0" applyFont="1" applyFill="1" applyBorder="1"/>
    <xf numFmtId="169" fontId="1" fillId="4" borderId="28" xfId="0" applyNumberFormat="1" applyFont="1" applyFill="1" applyBorder="1"/>
    <xf numFmtId="0" fontId="25" fillId="5" borderId="31" xfId="0" applyFont="1" applyFill="1" applyBorder="1"/>
    <xf numFmtId="172" fontId="2"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2" fontId="1" fillId="0" borderId="1" xfId="0" applyNumberFormat="1" applyFont="1" applyBorder="1" applyAlignment="1">
      <alignment horizontal="center"/>
    </xf>
    <xf numFmtId="0" fontId="39" fillId="0" borderId="0" xfId="0" applyFont="1"/>
    <xf numFmtId="0" fontId="7" fillId="0" borderId="0" xfId="3" applyFill="1" applyBorder="1"/>
    <xf numFmtId="2" fontId="0" fillId="0" borderId="14" xfId="0" applyNumberFormat="1" applyBorder="1" applyAlignment="1">
      <alignment horizontal="center"/>
    </xf>
    <xf numFmtId="2" fontId="1" fillId="0" borderId="3" xfId="0" applyNumberFormat="1" applyFont="1" applyBorder="1" applyAlignment="1">
      <alignment horizontal="center"/>
    </xf>
    <xf numFmtId="172" fontId="0" fillId="0" borderId="6" xfId="0" applyNumberFormat="1" applyBorder="1" applyAlignment="1">
      <alignment horizontal="center"/>
    </xf>
    <xf numFmtId="172" fontId="0" fillId="0" borderId="0" xfId="0" applyNumberFormat="1" applyFill="1" applyAlignment="1">
      <alignment horizontal="center"/>
    </xf>
    <xf numFmtId="2" fontId="0" fillId="0" borderId="3" xfId="0" applyNumberFormat="1" applyBorder="1" applyAlignment="1">
      <alignment horizontal="center"/>
    </xf>
    <xf numFmtId="2" fontId="0" fillId="0" borderId="0" xfId="0" applyNumberFormat="1" applyFill="1" applyAlignment="1">
      <alignment horizontal="center"/>
    </xf>
    <xf numFmtId="2" fontId="0" fillId="0" borderId="12" xfId="0" applyNumberFormat="1" applyBorder="1" applyAlignment="1">
      <alignment horizontal="center"/>
    </xf>
    <xf numFmtId="2" fontId="0" fillId="0" borderId="6" xfId="0" applyNumberFormat="1" applyBorder="1" applyAlignment="1">
      <alignment horizontal="center"/>
    </xf>
    <xf numFmtId="2" fontId="0" fillId="0" borderId="1" xfId="0" applyNumberFormat="1" applyBorder="1" applyAlignment="1">
      <alignment horizontal="center"/>
    </xf>
    <xf numFmtId="2" fontId="0" fillId="0" borderId="8" xfId="0" applyNumberFormat="1" applyBorder="1" applyAlignment="1">
      <alignment horizontal="center"/>
    </xf>
    <xf numFmtId="0" fontId="0" fillId="0" borderId="0" xfId="0" applyAlignment="1">
      <alignment horizontal="left" wrapText="1"/>
    </xf>
    <xf numFmtId="0" fontId="25" fillId="8" borderId="16" xfId="0" applyFont="1" applyFill="1" applyBorder="1"/>
    <xf numFmtId="169" fontId="1" fillId="8" borderId="0" xfId="0" applyNumberFormat="1" applyFont="1" applyFill="1" applyBorder="1" applyAlignment="1">
      <alignment horizontal="center"/>
    </xf>
    <xf numFmtId="169" fontId="0" fillId="0" borderId="16" xfId="0" applyNumberFormat="1" applyFont="1" applyBorder="1"/>
    <xf numFmtId="169" fontId="0" fillId="0" borderId="18" xfId="0" applyNumberFormat="1" applyFont="1" applyBorder="1"/>
    <xf numFmtId="0" fontId="25" fillId="3" borderId="26" xfId="0" applyFont="1" applyFill="1" applyBorder="1"/>
    <xf numFmtId="0" fontId="29" fillId="8" borderId="4" xfId="0" applyFont="1" applyFill="1" applyBorder="1"/>
    <xf numFmtId="170" fontId="0" fillId="8" borderId="0" xfId="0" applyNumberFormat="1" applyFont="1" applyFill="1" applyBorder="1" applyAlignment="1">
      <alignment horizontal="center"/>
    </xf>
    <xf numFmtId="170" fontId="0" fillId="8" borderId="0" xfId="0" applyNumberFormat="1" applyFill="1" applyBorder="1" applyAlignment="1">
      <alignment horizontal="center"/>
    </xf>
    <xf numFmtId="164" fontId="0" fillId="8" borderId="9" xfId="4" applyNumberFormat="1" applyFont="1" applyFill="1" applyBorder="1" applyAlignment="1">
      <alignment horizontal="center"/>
    </xf>
    <xf numFmtId="0" fontId="29" fillId="9" borderId="4" xfId="0" applyFont="1" applyFill="1" applyBorder="1"/>
    <xf numFmtId="170" fontId="0" fillId="9" borderId="0" xfId="0" applyNumberFormat="1" applyFill="1" applyBorder="1" applyAlignment="1">
      <alignment horizontal="center"/>
    </xf>
    <xf numFmtId="164" fontId="0" fillId="9" borderId="9" xfId="4" applyNumberFormat="1" applyFont="1" applyFill="1" applyBorder="1" applyAlignment="1">
      <alignment horizontal="center"/>
    </xf>
    <xf numFmtId="170" fontId="0" fillId="9" borderId="0" xfId="0" applyNumberFormat="1" applyFont="1" applyFill="1" applyBorder="1" applyAlignment="1">
      <alignment horizontal="center"/>
    </xf>
    <xf numFmtId="0" fontId="40" fillId="0" borderId="0" xfId="0" applyFont="1"/>
    <xf numFmtId="170" fontId="0" fillId="0" borderId="0" xfId="0" applyNumberFormat="1"/>
    <xf numFmtId="169" fontId="41" fillId="0" borderId="9" xfId="0" applyNumberFormat="1" applyFont="1" applyBorder="1" applyAlignment="1">
      <alignment horizontal="center"/>
    </xf>
    <xf numFmtId="169" fontId="1" fillId="0" borderId="10" xfId="0" applyNumberFormat="1" applyFont="1" applyBorder="1" applyAlignment="1">
      <alignment horizontal="center"/>
    </xf>
    <xf numFmtId="0" fontId="1" fillId="4" borderId="33" xfId="0" applyFont="1" applyFill="1" applyBorder="1" applyAlignment="1">
      <alignment horizontal="center"/>
    </xf>
    <xf numFmtId="169" fontId="0" fillId="0" borderId="11" xfId="0" applyNumberFormat="1" applyBorder="1" applyAlignment="1">
      <alignment horizontal="center"/>
    </xf>
    <xf numFmtId="169" fontId="1" fillId="4" borderId="34" xfId="0" applyNumberFormat="1" applyFont="1" applyFill="1" applyBorder="1"/>
    <xf numFmtId="169" fontId="1" fillId="4" borderId="34" xfId="0" applyNumberFormat="1" applyFont="1" applyFill="1" applyBorder="1" applyAlignment="1">
      <alignment horizontal="center"/>
    </xf>
    <xf numFmtId="0" fontId="0" fillId="0" borderId="17" xfId="0" applyBorder="1"/>
    <xf numFmtId="0" fontId="0" fillId="0" borderId="20" xfId="0" applyBorder="1"/>
    <xf numFmtId="0" fontId="0" fillId="0" borderId="16" xfId="0" applyFill="1" applyBorder="1"/>
    <xf numFmtId="0" fontId="20" fillId="5" borderId="21" xfId="0" applyFont="1" applyFill="1" applyBorder="1" applyAlignment="1">
      <alignment horizontal="center"/>
    </xf>
    <xf numFmtId="0" fontId="0" fillId="0" borderId="0" xfId="0" applyAlignment="1">
      <alignment horizontal="left"/>
    </xf>
    <xf numFmtId="0" fontId="20" fillId="5" borderId="0" xfId="0" applyFont="1" applyFill="1" applyBorder="1" applyAlignment="1">
      <alignment horizontal="left"/>
    </xf>
    <xf numFmtId="170" fontId="0" fillId="0" borderId="7" xfId="0" applyNumberFormat="1" applyBorder="1"/>
    <xf numFmtId="0" fontId="20" fillId="5" borderId="31" xfId="0" applyFont="1" applyFill="1" applyBorder="1" applyAlignment="1">
      <alignment horizontal="center"/>
    </xf>
    <xf numFmtId="0" fontId="20" fillId="5" borderId="32" xfId="0" applyFont="1" applyFill="1" applyBorder="1" applyAlignment="1">
      <alignment horizontal="center"/>
    </xf>
    <xf numFmtId="0" fontId="6" fillId="5" borderId="22" xfId="0" applyFont="1" applyFill="1" applyBorder="1" applyAlignment="1">
      <alignment horizontal="center"/>
    </xf>
    <xf numFmtId="0" fontId="1" fillId="5" borderId="22" xfId="0" applyFont="1" applyFill="1" applyBorder="1" applyAlignment="1">
      <alignment horizontal="center"/>
    </xf>
    <xf numFmtId="0" fontId="1" fillId="5" borderId="26" xfId="0" applyFont="1" applyFill="1" applyBorder="1"/>
    <xf numFmtId="0" fontId="1" fillId="5" borderId="27" xfId="0" applyFont="1" applyFill="1" applyBorder="1"/>
    <xf numFmtId="0" fontId="20" fillId="5" borderId="37" xfId="0" applyFont="1" applyFill="1" applyBorder="1" applyAlignment="1">
      <alignment horizontal="center"/>
    </xf>
    <xf numFmtId="0" fontId="20" fillId="5" borderId="38" xfId="0" applyFont="1" applyFill="1" applyBorder="1" applyAlignment="1">
      <alignment horizontal="center"/>
    </xf>
    <xf numFmtId="0" fontId="0" fillId="0" borderId="39" xfId="0" applyFill="1" applyBorder="1"/>
    <xf numFmtId="0" fontId="0" fillId="0" borderId="40" xfId="0" applyBorder="1"/>
    <xf numFmtId="0" fontId="0" fillId="0" borderId="41" xfId="0" applyFont="1" applyFill="1" applyBorder="1"/>
    <xf numFmtId="0" fontId="0" fillId="0" borderId="42" xfId="0" applyBorder="1"/>
    <xf numFmtId="0" fontId="20" fillId="5" borderId="33" xfId="0" applyFont="1" applyFill="1" applyBorder="1" applyAlignment="1">
      <alignment horizontal="center"/>
    </xf>
    <xf numFmtId="0" fontId="0" fillId="0" borderId="34" xfId="0" applyBorder="1"/>
    <xf numFmtId="164" fontId="1" fillId="5" borderId="8" xfId="4" applyNumberFormat="1" applyFont="1" applyFill="1" applyBorder="1" applyAlignment="1">
      <alignment horizontal="center"/>
    </xf>
    <xf numFmtId="164" fontId="25" fillId="5" borderId="36" xfId="4" applyNumberFormat="1" applyFont="1" applyFill="1" applyBorder="1" applyAlignment="1">
      <alignment horizontal="center"/>
    </xf>
    <xf numFmtId="164" fontId="25" fillId="5" borderId="35" xfId="4" applyNumberFormat="1" applyFont="1" applyFill="1" applyBorder="1" applyAlignment="1">
      <alignment horizontal="center"/>
    </xf>
    <xf numFmtId="0" fontId="7" fillId="0" borderId="3" xfId="3" applyBorder="1"/>
    <xf numFmtId="3" fontId="3" fillId="0" borderId="1" xfId="0" applyNumberFormat="1" applyFont="1" applyFill="1" applyBorder="1"/>
    <xf numFmtId="174" fontId="0" fillId="0" borderId="7" xfId="0" applyNumberFormat="1" applyBorder="1"/>
    <xf numFmtId="174" fontId="0" fillId="0" borderId="34" xfId="0" applyNumberFormat="1" applyBorder="1"/>
    <xf numFmtId="16" fontId="0" fillId="0" borderId="0" xfId="0" applyNumberFormat="1"/>
    <xf numFmtId="15" fontId="0" fillId="0" borderId="0" xfId="0" applyNumberFormat="1"/>
    <xf numFmtId="0" fontId="3" fillId="4" borderId="21" xfId="0" applyFont="1" applyFill="1" applyBorder="1" applyAlignment="1">
      <alignment horizontal="left"/>
    </xf>
    <xf numFmtId="0" fontId="3" fillId="4" borderId="22" xfId="0" applyFont="1" applyFill="1" applyBorder="1" applyAlignment="1">
      <alignment horizontal="center"/>
    </xf>
    <xf numFmtId="0" fontId="3" fillId="0" borderId="16" xfId="0" applyFont="1" applyFill="1" applyBorder="1" applyAlignment="1">
      <alignment horizontal="left"/>
    </xf>
    <xf numFmtId="0" fontId="0" fillId="0" borderId="19" xfId="0" applyBorder="1"/>
    <xf numFmtId="2" fontId="0" fillId="0" borderId="3" xfId="0" applyNumberFormat="1" applyBorder="1"/>
    <xf numFmtId="2" fontId="0" fillId="0" borderId="30" xfId="0" applyNumberFormat="1" applyBorder="1"/>
    <xf numFmtId="0" fontId="3" fillId="4" borderId="43" xfId="0" applyFont="1" applyFill="1" applyBorder="1" applyAlignment="1">
      <alignment horizontal="center"/>
    </xf>
    <xf numFmtId="2" fontId="2" fillId="0" borderId="4" xfId="0" applyNumberFormat="1" applyFont="1" applyFill="1" applyBorder="1" applyAlignment="1">
      <alignment horizontal="center"/>
    </xf>
    <xf numFmtId="0" fontId="1" fillId="0" borderId="4" xfId="0" applyFont="1" applyBorder="1" applyAlignment="1">
      <alignment horizontal="center"/>
    </xf>
    <xf numFmtId="172" fontId="2" fillId="0" borderId="4" xfId="0" applyNumberFormat="1" applyFont="1" applyFill="1" applyBorder="1" applyAlignment="1">
      <alignment horizontal="center"/>
    </xf>
    <xf numFmtId="2" fontId="1" fillId="4" borderId="6" xfId="0" applyNumberFormat="1" applyFont="1" applyFill="1" applyBorder="1" applyAlignment="1">
      <alignment horizontal="center"/>
    </xf>
    <xf numFmtId="2" fontId="1" fillId="4" borderId="1" xfId="0" applyNumberFormat="1" applyFont="1" applyFill="1" applyBorder="1" applyAlignment="1">
      <alignment horizontal="center"/>
    </xf>
    <xf numFmtId="2" fontId="3" fillId="4" borderId="1" xfId="0" applyNumberFormat="1" applyFont="1" applyFill="1" applyBorder="1"/>
    <xf numFmtId="2" fontId="2" fillId="0" borderId="9" xfId="0" applyNumberFormat="1" applyFont="1" applyFill="1" applyBorder="1" applyAlignment="1">
      <alignment horizontal="center"/>
    </xf>
    <xf numFmtId="166" fontId="3" fillId="4" borderId="8" xfId="0" applyNumberFormat="1" applyFont="1" applyFill="1" applyBorder="1"/>
    <xf numFmtId="172" fontId="2" fillId="0" borderId="9" xfId="0" applyNumberFormat="1" applyFont="1" applyFill="1" applyBorder="1" applyAlignment="1">
      <alignment horizontal="center"/>
    </xf>
    <xf numFmtId="0" fontId="0" fillId="2" borderId="0" xfId="0" applyFill="1" applyBorder="1"/>
    <xf numFmtId="166" fontId="3" fillId="2" borderId="0" xfId="0" applyNumberFormat="1" applyFont="1" applyFill="1" applyBorder="1"/>
    <xf numFmtId="0" fontId="3" fillId="2" borderId="0" xfId="0" applyFont="1" applyFill="1" applyBorder="1"/>
    <xf numFmtId="164" fontId="3" fillId="0" borderId="0" xfId="4" applyNumberFormat="1" applyFont="1" applyFill="1" applyBorder="1"/>
    <xf numFmtId="164" fontId="45" fillId="0" borderId="0" xfId="4" applyNumberFormat="1" applyFont="1" applyFill="1" applyBorder="1"/>
    <xf numFmtId="0" fontId="45" fillId="0" borderId="3" xfId="0" applyFont="1" applyFill="1" applyBorder="1"/>
    <xf numFmtId="0" fontId="18" fillId="0" borderId="3" xfId="0" applyFont="1" applyFill="1" applyBorder="1"/>
    <xf numFmtId="0" fontId="3" fillId="0" borderId="16" xfId="0" applyFont="1" applyFill="1" applyBorder="1"/>
    <xf numFmtId="0" fontId="3" fillId="0" borderId="17" xfId="0" applyFont="1" applyFill="1" applyBorder="1"/>
    <xf numFmtId="0" fontId="18" fillId="0" borderId="16" xfId="0" applyFont="1" applyFill="1" applyBorder="1"/>
    <xf numFmtId="0" fontId="18" fillId="0" borderId="17" xfId="0" applyFont="1" applyFill="1" applyBorder="1"/>
    <xf numFmtId="0" fontId="3" fillId="5" borderId="45" xfId="0" applyFont="1" applyFill="1" applyBorder="1"/>
    <xf numFmtId="0" fontId="3" fillId="5" borderId="46" xfId="0" applyFont="1" applyFill="1" applyBorder="1"/>
    <xf numFmtId="0" fontId="3" fillId="4" borderId="6" xfId="0" applyFont="1" applyFill="1" applyBorder="1"/>
    <xf numFmtId="164" fontId="18" fillId="4" borderId="39" xfId="4" applyNumberFormat="1" applyFont="1" applyFill="1" applyBorder="1"/>
    <xf numFmtId="10" fontId="18" fillId="4" borderId="24" xfId="4" applyNumberFormat="1" applyFont="1" applyFill="1" applyBorder="1"/>
    <xf numFmtId="0" fontId="46" fillId="0" borderId="0" xfId="0" applyFont="1" applyFill="1" applyBorder="1"/>
    <xf numFmtId="0" fontId="46" fillId="0" borderId="3" xfId="0" applyFont="1" applyFill="1" applyBorder="1"/>
    <xf numFmtId="10" fontId="18" fillId="4" borderId="39" xfId="4" applyNumberFormat="1" applyFont="1" applyFill="1" applyBorder="1"/>
    <xf numFmtId="164" fontId="18" fillId="0" borderId="18" xfId="4" applyNumberFormat="1" applyFont="1" applyFill="1" applyBorder="1"/>
    <xf numFmtId="164" fontId="18" fillId="0" borderId="19" xfId="4" applyNumberFormat="1" applyFont="1" applyFill="1" applyBorder="1"/>
    <xf numFmtId="0" fontId="18" fillId="0" borderId="19" xfId="0" applyFont="1" applyFill="1" applyBorder="1"/>
    <xf numFmtId="164" fontId="18" fillId="0" borderId="45" xfId="4" applyNumberFormat="1" applyFont="1" applyFill="1" applyBorder="1"/>
    <xf numFmtId="164" fontId="18" fillId="0" borderId="46" xfId="4" applyNumberFormat="1" applyFont="1" applyFill="1" applyBorder="1"/>
    <xf numFmtId="0" fontId="18" fillId="0" borderId="46" xfId="0" applyFont="1" applyFill="1" applyBorder="1"/>
    <xf numFmtId="164" fontId="18" fillId="10" borderId="48" xfId="0" applyNumberFormat="1" applyFont="1" applyFill="1" applyBorder="1"/>
    <xf numFmtId="0" fontId="47" fillId="10" borderId="31" xfId="0" applyFont="1" applyFill="1" applyBorder="1" applyAlignment="1">
      <alignment horizontal="center"/>
    </xf>
    <xf numFmtId="0" fontId="47" fillId="10" borderId="50" xfId="0" applyFont="1" applyFill="1" applyBorder="1" applyAlignment="1">
      <alignment horizontal="center"/>
    </xf>
    <xf numFmtId="0" fontId="47" fillId="10" borderId="32" xfId="0" applyFont="1" applyFill="1" applyBorder="1" applyAlignment="1">
      <alignment horizontal="center"/>
    </xf>
    <xf numFmtId="0" fontId="3" fillId="5" borderId="49" xfId="0" applyFont="1" applyFill="1" applyBorder="1"/>
    <xf numFmtId="0" fontId="3" fillId="0" borderId="14" xfId="0" applyFont="1" applyFill="1" applyBorder="1"/>
    <xf numFmtId="0" fontId="3" fillId="0" borderId="29" xfId="0" applyFont="1" applyFill="1" applyBorder="1"/>
    <xf numFmtId="0" fontId="3" fillId="0" borderId="51" xfId="0" applyFont="1" applyFill="1" applyBorder="1"/>
    <xf numFmtId="0" fontId="18" fillId="0" borderId="4" xfId="0" applyFont="1" applyFill="1" applyBorder="1"/>
    <xf numFmtId="0" fontId="18" fillId="0" borderId="52" xfId="0" applyFont="1" applyFill="1" applyBorder="1"/>
    <xf numFmtId="0" fontId="18" fillId="0" borderId="14" xfId="0" applyFont="1" applyFill="1" applyBorder="1"/>
    <xf numFmtId="0" fontId="18" fillId="0" borderId="5" xfId="0" applyFont="1" applyFill="1" applyBorder="1"/>
    <xf numFmtId="0" fontId="18" fillId="0" borderId="2" xfId="0" applyFont="1" applyFill="1" applyBorder="1"/>
    <xf numFmtId="0" fontId="45" fillId="0" borderId="12" xfId="0" applyFont="1" applyFill="1" applyBorder="1"/>
    <xf numFmtId="0" fontId="3" fillId="0" borderId="5" xfId="0" applyFont="1" applyFill="1" applyBorder="1"/>
    <xf numFmtId="0" fontId="45" fillId="0" borderId="2" xfId="0" applyFont="1" applyFill="1" applyBorder="1"/>
    <xf numFmtId="0" fontId="45" fillId="0" borderId="10" xfId="0" applyFont="1" applyFill="1" applyBorder="1"/>
    <xf numFmtId="164" fontId="18" fillId="10" borderId="44" xfId="4" applyNumberFormat="1" applyFont="1" applyFill="1" applyBorder="1"/>
    <xf numFmtId="0" fontId="18" fillId="10" borderId="0" xfId="0" applyFont="1" applyFill="1" applyBorder="1"/>
    <xf numFmtId="0" fontId="18" fillId="10" borderId="4" xfId="0" applyFont="1" applyFill="1" applyBorder="1"/>
    <xf numFmtId="0" fontId="18" fillId="10" borderId="5" xfId="0" applyFont="1" applyFill="1" applyBorder="1"/>
    <xf numFmtId="0" fontId="18" fillId="10" borderId="2" xfId="0" applyFont="1" applyFill="1" applyBorder="1"/>
    <xf numFmtId="2" fontId="18" fillId="10" borderId="2" xfId="0" applyNumberFormat="1" applyFont="1" applyFill="1" applyBorder="1"/>
    <xf numFmtId="0" fontId="18" fillId="10" borderId="17" xfId="0" applyFont="1" applyFill="1" applyBorder="1"/>
    <xf numFmtId="0" fontId="18" fillId="10" borderId="18" xfId="0" applyFont="1" applyFill="1" applyBorder="1"/>
    <xf numFmtId="0" fontId="18" fillId="10" borderId="19" xfId="0" applyFont="1" applyFill="1" applyBorder="1"/>
    <xf numFmtId="0" fontId="18" fillId="10" borderId="20" xfId="0" applyFont="1" applyFill="1" applyBorder="1"/>
    <xf numFmtId="0" fontId="18" fillId="0" borderId="31" xfId="0" applyFont="1" applyFill="1" applyBorder="1"/>
    <xf numFmtId="0" fontId="18" fillId="0" borderId="50" xfId="0" applyFont="1" applyFill="1" applyBorder="1"/>
    <xf numFmtId="0" fontId="18" fillId="0" borderId="32" xfId="0" applyFont="1" applyFill="1" applyBorder="1"/>
    <xf numFmtId="170" fontId="18" fillId="10" borderId="16" xfId="0" applyNumberFormat="1" applyFont="1" applyFill="1" applyBorder="1"/>
    <xf numFmtId="170" fontId="18" fillId="10" borderId="0" xfId="0" applyNumberFormat="1" applyFont="1" applyFill="1" applyBorder="1"/>
    <xf numFmtId="0" fontId="18" fillId="10" borderId="45" xfId="0" applyFont="1" applyFill="1" applyBorder="1"/>
    <xf numFmtId="0" fontId="18" fillId="10" borderId="46" xfId="0" applyFont="1" applyFill="1" applyBorder="1"/>
    <xf numFmtId="0" fontId="18" fillId="10" borderId="47" xfId="0" applyFont="1" applyFill="1" applyBorder="1"/>
    <xf numFmtId="0" fontId="1" fillId="0" borderId="29" xfId="0" applyFont="1" applyBorder="1"/>
    <xf numFmtId="0" fontId="1" fillId="0" borderId="30" xfId="0" applyFont="1" applyBorder="1"/>
    <xf numFmtId="0" fontId="1" fillId="0" borderId="16" xfId="0" applyFont="1" applyBorder="1"/>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1" fillId="10" borderId="45" xfId="0" applyFont="1" applyFill="1" applyBorder="1"/>
    <xf numFmtId="0" fontId="1" fillId="10" borderId="46" xfId="0" applyFont="1" applyFill="1" applyBorder="1"/>
    <xf numFmtId="0" fontId="1" fillId="10" borderId="47" xfId="0" applyFont="1" applyFill="1" applyBorder="1"/>
    <xf numFmtId="0" fontId="1" fillId="11" borderId="0" xfId="0" applyFont="1" applyFill="1" applyAlignment="1">
      <alignment horizontal="center"/>
    </xf>
    <xf numFmtId="0" fontId="1" fillId="11" borderId="0" xfId="0" applyFont="1" applyFill="1" applyAlignment="1">
      <alignment horizontal="left"/>
    </xf>
    <xf numFmtId="171" fontId="0" fillId="0" borderId="0" xfId="0" applyNumberFormat="1" applyBorder="1" applyAlignment="1">
      <alignment horizontal="center"/>
    </xf>
    <xf numFmtId="0" fontId="0" fillId="0" borderId="0" xfId="0"/>
    <xf numFmtId="164" fontId="0" fillId="0" borderId="7" xfId="0" applyNumberFormat="1" applyBorder="1" applyAlignment="1">
      <alignment horizontal="center"/>
    </xf>
    <xf numFmtId="164" fontId="0" fillId="0" borderId="7" xfId="4" applyNumberFormat="1" applyFont="1" applyBorder="1" applyAlignment="1">
      <alignment horizontal="center"/>
    </xf>
    <xf numFmtId="164" fontId="0" fillId="0" borderId="0" xfId="0" applyNumberFormat="1" applyFont="1" applyBorder="1" applyAlignment="1">
      <alignment wrapText="1"/>
    </xf>
    <xf numFmtId="170" fontId="0" fillId="0" borderId="0" xfId="0" applyNumberFormat="1"/>
    <xf numFmtId="0" fontId="1" fillId="4" borderId="33" xfId="0" applyFont="1" applyFill="1" applyBorder="1" applyAlignment="1">
      <alignment horizontal="center"/>
    </xf>
    <xf numFmtId="0" fontId="1" fillId="4" borderId="37" xfId="0" applyFont="1" applyFill="1" applyBorder="1" applyAlignment="1">
      <alignment horizontal="left"/>
    </xf>
    <xf numFmtId="0" fontId="1" fillId="4" borderId="38" xfId="0" applyFont="1" applyFill="1" applyBorder="1" applyAlignment="1">
      <alignment horizontal="center"/>
    </xf>
    <xf numFmtId="164" fontId="0" fillId="0" borderId="39" xfId="0" applyNumberFormat="1" applyFont="1" applyBorder="1" applyAlignment="1">
      <alignment wrapText="1"/>
    </xf>
    <xf numFmtId="164" fontId="0" fillId="0" borderId="40" xfId="0" applyNumberFormat="1" applyBorder="1" applyAlignment="1">
      <alignment horizontal="center"/>
    </xf>
    <xf numFmtId="164" fontId="0" fillId="0" borderId="41" xfId="0" applyNumberFormat="1" applyFont="1" applyBorder="1" applyAlignment="1">
      <alignment wrapText="1"/>
    </xf>
    <xf numFmtId="164" fontId="0" fillId="0" borderId="34" xfId="0" applyNumberFormat="1" applyBorder="1" applyAlignment="1">
      <alignment horizontal="center"/>
    </xf>
    <xf numFmtId="164" fontId="0" fillId="0" borderId="42" xfId="0" applyNumberFormat="1" applyBorder="1" applyAlignment="1">
      <alignment horizontal="center"/>
    </xf>
    <xf numFmtId="164" fontId="1" fillId="5" borderId="37" xfId="0" applyNumberFormat="1" applyFont="1" applyFill="1" applyBorder="1" applyAlignment="1">
      <alignment wrapText="1"/>
    </xf>
    <xf numFmtId="164" fontId="1" fillId="5" borderId="33" xfId="0" applyNumberFormat="1" applyFont="1" applyFill="1" applyBorder="1" applyAlignment="1">
      <alignment horizontal="center"/>
    </xf>
    <xf numFmtId="164" fontId="1" fillId="5" borderId="38" xfId="0" applyNumberFormat="1" applyFont="1" applyFill="1" applyBorder="1" applyAlignment="1">
      <alignment horizontal="center"/>
    </xf>
    <xf numFmtId="171" fontId="0" fillId="0" borderId="34" xfId="0" applyNumberFormat="1" applyBorder="1" applyAlignment="1">
      <alignment horizontal="center"/>
    </xf>
    <xf numFmtId="171" fontId="0" fillId="0" borderId="42" xfId="0" applyNumberFormat="1" applyBorder="1" applyAlignment="1">
      <alignment horizontal="center"/>
    </xf>
    <xf numFmtId="0" fontId="0" fillId="0" borderId="39" xfId="0" applyBorder="1"/>
    <xf numFmtId="164" fontId="0" fillId="0" borderId="40" xfId="4" applyNumberFormat="1" applyFont="1" applyBorder="1" applyAlignment="1">
      <alignment horizontal="center"/>
    </xf>
    <xf numFmtId="0" fontId="0" fillId="0" borderId="41" xfId="0" applyBorder="1"/>
    <xf numFmtId="164" fontId="0" fillId="0" borderId="34" xfId="4" applyNumberFormat="1" applyFont="1" applyBorder="1" applyAlignment="1">
      <alignment horizontal="center"/>
    </xf>
    <xf numFmtId="164" fontId="0" fillId="0" borderId="42" xfId="4" applyNumberFormat="1" applyFont="1" applyBorder="1" applyAlignment="1">
      <alignment horizontal="center"/>
    </xf>
    <xf numFmtId="0" fontId="1" fillId="4" borderId="21" xfId="0" applyFont="1" applyFill="1" applyBorder="1" applyAlignment="1">
      <alignment horizontal="center" wrapText="1"/>
    </xf>
    <xf numFmtId="0" fontId="1" fillId="4" borderId="33" xfId="0" applyFont="1" applyFill="1" applyBorder="1" applyAlignment="1">
      <alignment horizontal="center" wrapText="1"/>
    </xf>
    <xf numFmtId="0" fontId="1" fillId="4" borderId="53" xfId="0" applyFont="1" applyFill="1" applyBorder="1" applyAlignment="1">
      <alignment horizontal="center" wrapText="1"/>
    </xf>
    <xf numFmtId="170" fontId="0" fillId="0" borderId="34" xfId="0" applyNumberFormat="1" applyBorder="1" applyAlignment="1">
      <alignment horizontal="center"/>
    </xf>
    <xf numFmtId="170" fontId="0" fillId="0" borderId="34" xfId="0" applyNumberFormat="1" applyBorder="1" applyAlignment="1">
      <alignment horizontal="center" vertical="center"/>
    </xf>
    <xf numFmtId="10" fontId="0" fillId="0" borderId="6" xfId="0" applyNumberFormat="1" applyBorder="1" applyAlignment="1">
      <alignment horizontal="center"/>
    </xf>
    <xf numFmtId="0" fontId="1" fillId="4" borderId="54" xfId="0" applyFont="1" applyFill="1" applyBorder="1" applyAlignment="1">
      <alignment horizontal="center" wrapText="1"/>
    </xf>
    <xf numFmtId="0" fontId="1" fillId="4" borderId="55" xfId="0" applyFont="1" applyFill="1" applyBorder="1" applyAlignment="1">
      <alignment horizontal="center" wrapText="1"/>
    </xf>
    <xf numFmtId="10" fontId="0" fillId="0" borderId="56" xfId="0" applyNumberFormat="1" applyBorder="1" applyAlignment="1">
      <alignment horizontal="center"/>
    </xf>
    <xf numFmtId="2" fontId="0" fillId="0" borderId="24" xfId="0" applyNumberFormat="1" applyBorder="1" applyAlignment="1">
      <alignment horizontal="center"/>
    </xf>
    <xf numFmtId="172" fontId="0" fillId="0" borderId="25" xfId="0" applyNumberFormat="1" applyBorder="1" applyAlignment="1">
      <alignment horizontal="center"/>
    </xf>
    <xf numFmtId="2" fontId="0" fillId="0" borderId="25" xfId="0" applyNumberFormat="1" applyBorder="1" applyAlignment="1">
      <alignment horizontal="center"/>
    </xf>
    <xf numFmtId="164" fontId="1" fillId="4" borderId="7" xfId="4" applyNumberFormat="1" applyFont="1" applyFill="1" applyBorder="1" applyAlignment="1">
      <alignment horizontal="center" vertical="center"/>
    </xf>
    <xf numFmtId="164" fontId="1" fillId="4" borderId="7" xfId="0" applyNumberFormat="1" applyFont="1" applyFill="1" applyBorder="1" applyAlignment="1">
      <alignment horizontal="center" vertical="center"/>
    </xf>
    <xf numFmtId="0" fontId="0" fillId="0" borderId="0" xfId="0" applyAlignment="1">
      <alignment vertical="center"/>
    </xf>
    <xf numFmtId="170" fontId="0" fillId="0" borderId="0" xfId="0" applyNumberFormat="1" applyBorder="1"/>
    <xf numFmtId="0" fontId="44" fillId="0" borderId="0" xfId="0" applyFont="1" applyBorder="1"/>
    <xf numFmtId="170" fontId="1" fillId="0" borderId="0" xfId="0" applyNumberFormat="1" applyFont="1"/>
    <xf numFmtId="172" fontId="1" fillId="0" borderId="0" xfId="0" applyNumberFormat="1" applyFont="1"/>
    <xf numFmtId="0" fontId="49" fillId="0" borderId="0" xfId="3" applyFont="1"/>
    <xf numFmtId="10" fontId="0" fillId="0" borderId="0" xfId="4" applyNumberFormat="1" applyFont="1"/>
    <xf numFmtId="0" fontId="0" fillId="0" borderId="47" xfId="0" applyBorder="1"/>
    <xf numFmtId="0" fontId="0" fillId="0" borderId="32" xfId="0" applyBorder="1"/>
    <xf numFmtId="0" fontId="1" fillId="6" borderId="31" xfId="0" applyFont="1" applyFill="1" applyBorder="1"/>
    <xf numFmtId="0" fontId="0" fillId="0" borderId="46" xfId="0" applyBorder="1"/>
    <xf numFmtId="2" fontId="0" fillId="0" borderId="0" xfId="0" applyNumberFormat="1" applyBorder="1"/>
    <xf numFmtId="2" fontId="0" fillId="0" borderId="18" xfId="0" applyNumberFormat="1" applyBorder="1"/>
    <xf numFmtId="2" fontId="0" fillId="0" borderId="19" xfId="0" applyNumberFormat="1" applyBorder="1"/>
    <xf numFmtId="0" fontId="1" fillId="6" borderId="50" xfId="0" applyFont="1" applyFill="1" applyBorder="1"/>
    <xf numFmtId="0" fontId="1" fillId="6" borderId="32" xfId="0" applyFont="1" applyFill="1" applyBorder="1"/>
    <xf numFmtId="0" fontId="1" fillId="6" borderId="45" xfId="0" applyFont="1" applyFill="1" applyBorder="1"/>
    <xf numFmtId="0" fontId="1" fillId="6" borderId="46" xfId="0" applyFont="1" applyFill="1" applyBorder="1"/>
    <xf numFmtId="10" fontId="1" fillId="0" borderId="57" xfId="0" applyNumberFormat="1" applyFont="1" applyBorder="1" applyAlignment="1">
      <alignment horizontal="center"/>
    </xf>
    <xf numFmtId="10" fontId="1" fillId="0" borderId="48" xfId="0" applyNumberFormat="1" applyFont="1" applyBorder="1" applyAlignment="1">
      <alignment horizontal="center"/>
    </xf>
    <xf numFmtId="10" fontId="0" fillId="0" borderId="20" xfId="4" applyNumberFormat="1" applyFont="1" applyBorder="1" applyAlignment="1">
      <alignment horizontal="center"/>
    </xf>
    <xf numFmtId="0" fontId="1" fillId="6" borderId="46" xfId="0" applyFont="1" applyFill="1" applyBorder="1" applyAlignment="1">
      <alignment horizontal="center"/>
    </xf>
    <xf numFmtId="0" fontId="0" fillId="6" borderId="46" xfId="0" applyFill="1" applyBorder="1"/>
    <xf numFmtId="0" fontId="1" fillId="6" borderId="47" xfId="0" applyFont="1" applyFill="1" applyBorder="1" applyAlignment="1">
      <alignment horizontal="center"/>
    </xf>
    <xf numFmtId="0" fontId="1" fillId="6" borderId="60" xfId="0" applyFont="1" applyFill="1" applyBorder="1" applyAlignment="1">
      <alignment horizontal="center"/>
    </xf>
    <xf numFmtId="2" fontId="0" fillId="0" borderId="61" xfId="0" applyNumberFormat="1" applyBorder="1" applyAlignment="1">
      <alignment horizontal="center"/>
    </xf>
    <xf numFmtId="0" fontId="0" fillId="6" borderId="7" xfId="0" applyFill="1" applyBorder="1"/>
    <xf numFmtId="0" fontId="1" fillId="6" borderId="7" xfId="0" applyFont="1" applyFill="1" applyBorder="1"/>
    <xf numFmtId="9" fontId="32" fillId="0" borderId="0" xfId="4" applyFont="1"/>
    <xf numFmtId="9" fontId="29" fillId="0" borderId="0" xfId="4" applyNumberFormat="1" applyFont="1"/>
    <xf numFmtId="0" fontId="1" fillId="0" borderId="18" xfId="0" applyFont="1" applyBorder="1" applyAlignment="1">
      <alignment wrapText="1"/>
    </xf>
    <xf numFmtId="0" fontId="0" fillId="0" borderId="45" xfId="0" applyBorder="1"/>
    <xf numFmtId="2" fontId="0" fillId="0" borderId="17" xfId="0" applyNumberFormat="1" applyBorder="1"/>
    <xf numFmtId="175" fontId="0" fillId="0" borderId="0" xfId="0" applyNumberFormat="1" applyBorder="1"/>
    <xf numFmtId="175" fontId="0" fillId="0" borderId="17" xfId="0" applyNumberFormat="1" applyBorder="1"/>
    <xf numFmtId="0" fontId="1" fillId="0" borderId="16" xfId="0" applyFont="1" applyFill="1" applyBorder="1"/>
    <xf numFmtId="172" fontId="1" fillId="0" borderId="0" xfId="0" applyNumberFormat="1" applyFont="1" applyBorder="1"/>
    <xf numFmtId="172" fontId="1" fillId="0" borderId="17" xfId="0" applyNumberFormat="1" applyFont="1" applyBorder="1"/>
    <xf numFmtId="0" fontId="0" fillId="0" borderId="18" xfId="0" applyFill="1" applyBorder="1"/>
    <xf numFmtId="175" fontId="0" fillId="0" borderId="19" xfId="0" applyNumberFormat="1" applyBorder="1"/>
    <xf numFmtId="175" fontId="0" fillId="0" borderId="20" xfId="0" applyNumberFormat="1" applyBorder="1"/>
    <xf numFmtId="0" fontId="0" fillId="0" borderId="58" xfId="0" applyBorder="1"/>
    <xf numFmtId="175" fontId="0" fillId="0" borderId="4" xfId="0" applyNumberFormat="1" applyBorder="1"/>
    <xf numFmtId="172" fontId="1" fillId="0" borderId="4" xfId="0" applyNumberFormat="1" applyFont="1" applyBorder="1"/>
    <xf numFmtId="175" fontId="0" fillId="0" borderId="59" xfId="0" applyNumberFormat="1" applyBorder="1"/>
    <xf numFmtId="0" fontId="0" fillId="0" borderId="31" xfId="0" applyFill="1" applyBorder="1"/>
    <xf numFmtId="0" fontId="0" fillId="0" borderId="50" xfId="0" applyBorder="1"/>
    <xf numFmtId="2" fontId="1" fillId="0" borderId="50" xfId="0" applyNumberFormat="1" applyFont="1" applyBorder="1"/>
    <xf numFmtId="0" fontId="0" fillId="0" borderId="31" xfId="0" applyBorder="1"/>
    <xf numFmtId="10" fontId="0" fillId="0" borderId="20" xfId="4" applyNumberFormat="1" applyFont="1" applyBorder="1"/>
    <xf numFmtId="0" fontId="1" fillId="6" borderId="44" xfId="0" applyFont="1" applyFill="1" applyBorder="1"/>
    <xf numFmtId="0" fontId="0" fillId="0" borderId="57" xfId="0" applyBorder="1"/>
    <xf numFmtId="0" fontId="7" fillId="0" borderId="57" xfId="3" applyBorder="1"/>
    <xf numFmtId="0" fontId="0" fillId="0" borderId="48" xfId="0" applyBorder="1"/>
    <xf numFmtId="0" fontId="44" fillId="0" borderId="0" xfId="0" applyFont="1"/>
    <xf numFmtId="9" fontId="0" fillId="0" borderId="0" xfId="4" applyFont="1" applyAlignment="1">
      <alignment horizontal="center"/>
    </xf>
    <xf numFmtId="0" fontId="0" fillId="0" borderId="19" xfId="0" applyFill="1" applyBorder="1"/>
    <xf numFmtId="0" fontId="0" fillId="0" borderId="20" xfId="0" applyFill="1" applyBorder="1"/>
    <xf numFmtId="0" fontId="1" fillId="6" borderId="45" xfId="0" applyFont="1" applyFill="1" applyBorder="1" applyAlignment="1">
      <alignment horizontal="center"/>
    </xf>
    <xf numFmtId="0" fontId="0" fillId="0" borderId="16" xfId="0" applyBorder="1" applyAlignment="1">
      <alignment horizontal="center"/>
    </xf>
    <xf numFmtId="0" fontId="3" fillId="4" borderId="21" xfId="0" applyFont="1" applyFill="1" applyBorder="1" applyAlignment="1">
      <alignment horizontal="center"/>
    </xf>
    <xf numFmtId="0" fontId="3" fillId="4" borderId="23" xfId="0" applyFont="1" applyFill="1" applyBorder="1" applyAlignment="1">
      <alignment horizontal="center"/>
    </xf>
    <xf numFmtId="0" fontId="2" fillId="0" borderId="16" xfId="0" applyFont="1" applyFill="1" applyBorder="1" applyAlignment="1">
      <alignment horizontal="center"/>
    </xf>
    <xf numFmtId="0" fontId="2" fillId="0" borderId="17" xfId="0" applyFont="1" applyFill="1" applyBorder="1" applyAlignment="1">
      <alignment horizontal="center"/>
    </xf>
    <xf numFmtId="0" fontId="0" fillId="0" borderId="17" xfId="0" applyBorder="1" applyAlignment="1">
      <alignment horizontal="center"/>
    </xf>
    <xf numFmtId="2" fontId="0" fillId="0" borderId="20" xfId="0" applyNumberFormat="1" applyBorder="1"/>
    <xf numFmtId="0" fontId="3" fillId="5" borderId="16" xfId="0" applyFont="1" applyFill="1" applyBorder="1" applyAlignment="1">
      <alignment horizontal="center"/>
    </xf>
    <xf numFmtId="0" fontId="3" fillId="5" borderId="0" xfId="0" applyFont="1" applyFill="1" applyBorder="1" applyAlignment="1">
      <alignment horizontal="center"/>
    </xf>
    <xf numFmtId="0" fontId="3" fillId="5" borderId="17" xfId="0" applyFont="1" applyFill="1" applyBorder="1" applyAlignment="1">
      <alignment horizontal="center"/>
    </xf>
    <xf numFmtId="2" fontId="1" fillId="5" borderId="18" xfId="0" applyNumberFormat="1" applyFont="1" applyFill="1" applyBorder="1" applyAlignment="1">
      <alignment horizontal="center"/>
    </xf>
    <xf numFmtId="2" fontId="1" fillId="5" borderId="19" xfId="0" applyNumberFormat="1" applyFont="1" applyFill="1" applyBorder="1" applyAlignment="1">
      <alignment horizontal="center"/>
    </xf>
    <xf numFmtId="2" fontId="1" fillId="5" borderId="20" xfId="0" applyNumberFormat="1" applyFont="1" applyFill="1" applyBorder="1" applyAlignment="1">
      <alignment horizontal="center"/>
    </xf>
    <xf numFmtId="10" fontId="32" fillId="0" borderId="0" xfId="0" applyNumberFormat="1" applyFont="1"/>
    <xf numFmtId="164" fontId="32" fillId="0" borderId="0" xfId="0" applyNumberFormat="1" applyFont="1"/>
    <xf numFmtId="166" fontId="32" fillId="0" borderId="0" xfId="0" applyNumberFormat="1" applyFont="1"/>
    <xf numFmtId="164" fontId="0" fillId="0" borderId="17" xfId="4" applyNumberFormat="1" applyFont="1" applyBorder="1" applyAlignment="1">
      <alignment horizontal="center"/>
    </xf>
    <xf numFmtId="164" fontId="1" fillId="8" borderId="17" xfId="4" applyNumberFormat="1" applyFont="1" applyFill="1" applyBorder="1" applyAlignment="1">
      <alignment horizontal="center"/>
    </xf>
    <xf numFmtId="164" fontId="0" fillId="3" borderId="25" xfId="4" applyNumberFormat="1" applyFont="1" applyFill="1" applyBorder="1" applyAlignment="1">
      <alignment horizontal="center"/>
    </xf>
    <xf numFmtId="0" fontId="50" fillId="0" borderId="0" xfId="0" applyFont="1"/>
    <xf numFmtId="176" fontId="0" fillId="0" borderId="0" xfId="4" applyNumberFormat="1" applyFont="1"/>
    <xf numFmtId="9" fontId="0" fillId="0" borderId="0" xfId="4" applyFont="1"/>
    <xf numFmtId="10" fontId="0" fillId="0" borderId="3" xfId="4" applyNumberFormat="1" applyFont="1" applyBorder="1"/>
    <xf numFmtId="10" fontId="0" fillId="0" borderId="12" xfId="4" applyNumberFormat="1" applyFont="1" applyBorder="1"/>
    <xf numFmtId="10" fontId="0" fillId="0" borderId="1" xfId="4" applyNumberFormat="1" applyFont="1" applyBorder="1"/>
    <xf numFmtId="10" fontId="0" fillId="0" borderId="8" xfId="4" applyNumberFormat="1" applyFont="1" applyBorder="1"/>
    <xf numFmtId="10" fontId="0" fillId="0" borderId="14" xfId="4" applyNumberFormat="1" applyFont="1" applyBorder="1"/>
    <xf numFmtId="10" fontId="0" fillId="0" borderId="6" xfId="4" applyNumberFormat="1" applyFont="1" applyBorder="1"/>
    <xf numFmtId="0" fontId="1" fillId="5" borderId="14" xfId="0" applyFont="1" applyFill="1" applyBorder="1"/>
    <xf numFmtId="164" fontId="0" fillId="0" borderId="15" xfId="4" applyNumberFormat="1" applyFont="1" applyBorder="1"/>
    <xf numFmtId="164" fontId="0" fillId="0" borderId="13" xfId="4" applyNumberFormat="1" applyFont="1" applyBorder="1"/>
    <xf numFmtId="0" fontId="1" fillId="0" borderId="5" xfId="0" applyFont="1" applyBorder="1"/>
    <xf numFmtId="164" fontId="1" fillId="0" borderId="13" xfId="4" applyNumberFormat="1" applyFont="1" applyBorder="1" applyAlignment="1">
      <alignment horizontal="center"/>
    </xf>
    <xf numFmtId="0" fontId="52" fillId="0" borderId="0" xfId="0" applyNumberFormat="1" applyFont="1" applyFill="1" applyBorder="1" applyAlignment="1">
      <alignment horizontal="right"/>
    </xf>
    <xf numFmtId="0" fontId="52" fillId="0" borderId="0" xfId="0" applyNumberFormat="1" applyFont="1" applyFill="1" applyBorder="1" applyAlignment="1">
      <alignment horizontal="right"/>
    </xf>
    <xf numFmtId="0" fontId="52" fillId="0" borderId="0" xfId="0" applyNumberFormat="1" applyFont="1" applyFill="1" applyBorder="1" applyAlignment="1">
      <alignment horizontal="right"/>
    </xf>
    <xf numFmtId="0" fontId="52" fillId="0" borderId="0" xfId="0" applyNumberFormat="1" applyFont="1" applyFill="1" applyBorder="1" applyAlignment="1">
      <alignment horizontal="right"/>
    </xf>
    <xf numFmtId="169" fontId="1" fillId="0" borderId="7" xfId="0" applyNumberFormat="1" applyFont="1" applyBorder="1" applyAlignment="1">
      <alignment wrapText="1"/>
    </xf>
    <xf numFmtId="169" fontId="1" fillId="0" borderId="7" xfId="0" applyNumberFormat="1" applyFont="1" applyBorder="1"/>
    <xf numFmtId="0" fontId="1" fillId="5" borderId="38" xfId="0" applyFont="1" applyFill="1" applyBorder="1" applyAlignment="1">
      <alignment horizontal="center"/>
    </xf>
    <xf numFmtId="0" fontId="0" fillId="0" borderId="62" xfId="0" applyBorder="1"/>
    <xf numFmtId="0" fontId="1" fillId="5" borderId="42" xfId="0" applyFont="1" applyFill="1" applyBorder="1"/>
    <xf numFmtId="177" fontId="0" fillId="0" borderId="42" xfId="5" applyNumberFormat="1" applyFont="1" applyBorder="1"/>
    <xf numFmtId="177" fontId="0" fillId="0" borderId="40" xfId="5" applyNumberFormat="1" applyFont="1" applyBorder="1"/>
    <xf numFmtId="178" fontId="0" fillId="0" borderId="0" xfId="4" applyNumberFormat="1" applyFont="1"/>
    <xf numFmtId="0" fontId="7" fillId="0" borderId="0" xfId="3" applyAlignment="1">
      <alignment horizontal="left" wrapText="1"/>
    </xf>
    <xf numFmtId="0" fontId="53" fillId="0" borderId="0" xfId="21"/>
    <xf numFmtId="0" fontId="53" fillId="0" borderId="0" xfId="21"/>
    <xf numFmtId="0" fontId="53" fillId="0" borderId="0" xfId="21"/>
    <xf numFmtId="0" fontId="53" fillId="0" borderId="0" xfId="21"/>
    <xf numFmtId="0" fontId="3" fillId="0" borderId="0" xfId="21" applyFont="1" applyFill="1" applyAlignment="1">
      <alignment horizontal="center"/>
    </xf>
    <xf numFmtId="0" fontId="1" fillId="0" borderId="2" xfId="0" applyFont="1" applyBorder="1"/>
    <xf numFmtId="0" fontId="7" fillId="0" borderId="0" xfId="3" applyAlignment="1">
      <alignment horizontal="left"/>
    </xf>
    <xf numFmtId="169" fontId="0" fillId="3" borderId="7" xfId="0" applyNumberFormat="1" applyFill="1" applyBorder="1"/>
    <xf numFmtId="169" fontId="0" fillId="0" borderId="11" xfId="0" applyNumberFormat="1" applyFont="1" applyBorder="1"/>
    <xf numFmtId="169" fontId="0" fillId="0" borderId="61" xfId="0" applyNumberFormat="1" applyFont="1" applyBorder="1"/>
    <xf numFmtId="3" fontId="3" fillId="0" borderId="0" xfId="0" applyNumberFormat="1" applyFont="1" applyFill="1" applyBorder="1"/>
    <xf numFmtId="3" fontId="1" fillId="0" borderId="0" xfId="0" applyNumberFormat="1" applyFont="1"/>
    <xf numFmtId="169" fontId="1" fillId="4" borderId="63" xfId="0" applyNumberFormat="1" applyFont="1" applyFill="1" applyBorder="1"/>
    <xf numFmtId="169" fontId="41" fillId="0" borderId="11" xfId="0" applyNumberFormat="1" applyFont="1" applyBorder="1" applyAlignment="1">
      <alignment horizontal="center"/>
    </xf>
    <xf numFmtId="169" fontId="1" fillId="0" borderId="13" xfId="0" applyNumberFormat="1" applyFont="1" applyBorder="1" applyAlignment="1">
      <alignment horizontal="center"/>
    </xf>
    <xf numFmtId="0" fontId="47" fillId="0" borderId="0" xfId="0" applyFont="1" applyFill="1" applyBorder="1"/>
    <xf numFmtId="164" fontId="1" fillId="0" borderId="0" xfId="4" applyNumberFormat="1" applyFont="1"/>
    <xf numFmtId="164" fontId="1" fillId="0" borderId="7" xfId="4" applyNumberFormat="1" applyFont="1" applyBorder="1" applyAlignment="1">
      <alignment horizontal="center"/>
    </xf>
    <xf numFmtId="164" fontId="1" fillId="0" borderId="7" xfId="0" applyNumberFormat="1" applyFont="1" applyBorder="1" applyAlignment="1">
      <alignment horizontal="center"/>
    </xf>
    <xf numFmtId="164" fontId="1" fillId="0" borderId="15" xfId="4" applyNumberFormat="1" applyFont="1" applyBorder="1" applyAlignment="1">
      <alignment horizontal="center"/>
    </xf>
    <xf numFmtId="0" fontId="1" fillId="5" borderId="31" xfId="0" applyFont="1" applyFill="1" applyBorder="1"/>
    <xf numFmtId="0" fontId="1" fillId="5" borderId="36" xfId="0" applyFont="1" applyFill="1" applyBorder="1"/>
    <xf numFmtId="1" fontId="1" fillId="5" borderId="35" xfId="0" applyNumberFormat="1" applyFont="1" applyFill="1" applyBorder="1" applyAlignment="1">
      <alignment horizontal="center"/>
    </xf>
    <xf numFmtId="164" fontId="1" fillId="0" borderId="64" xfId="4" applyNumberFormat="1" applyFont="1" applyBorder="1" applyAlignment="1">
      <alignment horizontal="center"/>
    </xf>
    <xf numFmtId="164" fontId="1" fillId="0" borderId="40" xfId="4" applyNumberFormat="1" applyFont="1" applyBorder="1" applyAlignment="1">
      <alignment horizontal="center"/>
    </xf>
    <xf numFmtId="164" fontId="1" fillId="0" borderId="65" xfId="4" applyNumberFormat="1" applyFont="1" applyBorder="1" applyAlignment="1">
      <alignment horizontal="center"/>
    </xf>
    <xf numFmtId="0" fontId="1" fillId="4" borderId="31" xfId="0" applyFont="1" applyFill="1" applyBorder="1"/>
    <xf numFmtId="164" fontId="1" fillId="4" borderId="36" xfId="4" applyNumberFormat="1" applyFont="1" applyFill="1" applyBorder="1" applyAlignment="1">
      <alignment horizontal="center"/>
    </xf>
    <xf numFmtId="164" fontId="1" fillId="4" borderId="35" xfId="4" applyNumberFormat="1" applyFont="1" applyFill="1" applyBorder="1" applyAlignment="1">
      <alignment horizontal="center"/>
    </xf>
    <xf numFmtId="0" fontId="1" fillId="0" borderId="0" xfId="0" applyFont="1" applyAlignment="1">
      <alignment horizontal="left" wrapText="1"/>
    </xf>
    <xf numFmtId="0" fontId="37" fillId="0" borderId="0" xfId="0" applyFont="1" applyAlignment="1">
      <alignment horizontal="left" wrapText="1"/>
    </xf>
    <xf numFmtId="0" fontId="38" fillId="0" borderId="0" xfId="0" applyFont="1" applyAlignment="1">
      <alignment horizontal="left" wrapText="1"/>
    </xf>
    <xf numFmtId="0" fontId="28" fillId="0" borderId="0" xfId="0" applyFont="1" applyAlignment="1">
      <alignment horizontal="left" wrapText="1"/>
    </xf>
    <xf numFmtId="0" fontId="0" fillId="0" borderId="0" xfId="0" applyFont="1" applyBorder="1" applyAlignment="1">
      <alignment horizontal="left" wrapText="1"/>
    </xf>
    <xf numFmtId="0" fontId="0" fillId="0" borderId="0" xfId="0" applyFill="1" applyBorder="1" applyAlignment="1">
      <alignment horizontal="left" wrapText="1"/>
    </xf>
    <xf numFmtId="0" fontId="1" fillId="0" borderId="0" xfId="0" applyFont="1" applyBorder="1" applyAlignment="1">
      <alignment horizontal="left" wrapText="1"/>
    </xf>
    <xf numFmtId="0" fontId="20" fillId="0" borderId="0" xfId="0" applyFont="1" applyAlignment="1">
      <alignment horizontal="left" vertical="top" wrapText="1"/>
    </xf>
    <xf numFmtId="164" fontId="1" fillId="0" borderId="0" xfId="0" applyNumberFormat="1" applyFont="1" applyBorder="1" applyAlignment="1">
      <alignment horizontal="left" wrapText="1"/>
    </xf>
    <xf numFmtId="168" fontId="0" fillId="0" borderId="0" xfId="0" applyNumberFormat="1" applyFont="1" applyBorder="1" applyAlignment="1">
      <alignment horizontal="left" wrapText="1"/>
    </xf>
    <xf numFmtId="0" fontId="0" fillId="0" borderId="0" xfId="0" applyFont="1" applyAlignment="1">
      <alignment horizontal="left" wrapText="1"/>
    </xf>
    <xf numFmtId="0" fontId="28" fillId="0" borderId="0" xfId="0" applyFont="1" applyAlignment="1">
      <alignment wrapText="1"/>
    </xf>
    <xf numFmtId="0" fontId="28" fillId="0" borderId="0" xfId="0" applyFont="1" applyFill="1" applyAlignment="1">
      <alignment horizontal="left" wrapText="1"/>
    </xf>
    <xf numFmtId="0" fontId="7" fillId="0" borderId="0" xfId="3" applyAlignment="1">
      <alignment horizontal="left" wrapText="1"/>
    </xf>
    <xf numFmtId="164" fontId="0" fillId="0" borderId="0" xfId="0" applyNumberFormat="1" applyFont="1" applyBorder="1" applyAlignment="1">
      <alignment horizontal="left" wrapText="1"/>
    </xf>
    <xf numFmtId="0" fontId="39" fillId="0" borderId="0" xfId="0" applyFont="1" applyBorder="1" applyAlignment="1">
      <alignment horizontal="left" wrapText="1"/>
    </xf>
    <xf numFmtId="0" fontId="0" fillId="0" borderId="2" xfId="0" applyFill="1" applyBorder="1" applyAlignment="1">
      <alignment horizontal="left" wrapText="1"/>
    </xf>
    <xf numFmtId="0" fontId="14" fillId="0" borderId="0" xfId="0" applyFont="1" applyAlignment="1">
      <alignment horizontal="left" wrapText="1"/>
    </xf>
    <xf numFmtId="0" fontId="3" fillId="0" borderId="0" xfId="0" applyFont="1" applyFill="1" applyBorder="1" applyAlignment="1">
      <alignment horizontal="left" wrapText="1"/>
    </xf>
    <xf numFmtId="0" fontId="0" fillId="0" borderId="0" xfId="0" applyAlignment="1">
      <alignment horizontal="left" wrapText="1"/>
    </xf>
    <xf numFmtId="0" fontId="29" fillId="0" borderId="0" xfId="3" applyFont="1" applyAlignment="1">
      <alignment horizontal="left" wrapText="1"/>
    </xf>
    <xf numFmtId="0" fontId="2" fillId="0" borderId="0" xfId="7" applyAlignment="1">
      <alignment horizontal="left"/>
    </xf>
  </cellXfs>
  <cellStyles count="22">
    <cellStyle name="Comma" xfId="8" builtinId="3"/>
    <cellStyle name="Comma [0]" xfId="9" builtinId="6"/>
    <cellStyle name="Comma [0] 2" xfId="14" xr:uid="{00000000-0005-0000-0000-000037000000}"/>
    <cellStyle name="Comma 2" xfId="6" xr:uid="{00000000-0005-0000-0000-000033000000}"/>
    <cellStyle name="Comma 2 2" xfId="12" xr:uid="{00000000-0005-0000-0000-000033000000}"/>
    <cellStyle name="Comma 3" xfId="13" xr:uid="{00000000-0005-0000-0000-000036000000}"/>
    <cellStyle name="Comma 4" xfId="16" xr:uid="{00000000-0005-0000-0000-00003B000000}"/>
    <cellStyle name="Comma 5" xfId="18" xr:uid="{00000000-0005-0000-0000-00003D000000}"/>
    <cellStyle name="Comma 6" xfId="19" xr:uid="{00000000-0005-0000-0000-00003E000000}"/>
    <cellStyle name="Comma 7" xfId="20" xr:uid="{00000000-0005-0000-0000-00003F000000}"/>
    <cellStyle name="Currency" xfId="5" builtinId="4"/>
    <cellStyle name="Currency 2" xfId="11" xr:uid="{00000000-0005-0000-0000-000039000000}"/>
    <cellStyle name="Hyperlink" xfId="3" builtinId="8"/>
    <cellStyle name="Hyperlink 2" xfId="17" xr:uid="{00000000-0005-0000-0000-00003C000000}"/>
    <cellStyle name="Normal" xfId="0" builtinId="0"/>
    <cellStyle name="Normal 2" xfId="7" xr:uid="{00000000-0005-0000-0000-000034000000}"/>
    <cellStyle name="Normal 2 2" xfId="2" xr:uid="{00000000-0005-0000-0000-000002000000}"/>
    <cellStyle name="Normal 3" xfId="10" xr:uid="{00000000-0005-0000-0000-000035000000}"/>
    <cellStyle name="Normal 3 2" xfId="15" xr:uid="{00000000-0005-0000-0000-000035000000}"/>
    <cellStyle name="Normal 4" xfId="1" xr:uid="{00000000-0005-0000-0000-000003000000}"/>
    <cellStyle name="Normal 5" xfId="21" xr:uid="{87780EFC-5AA7-4675-81F1-12A1E6C8171F}"/>
    <cellStyle name="Percent" xfId="4" builtinId="5"/>
  </cellStyles>
  <dxfs count="0"/>
  <tableStyles count="0" defaultTableStyle="TableStyleMedium2" defaultPivotStyle="PivotStyleLight16"/>
  <colors>
    <mruColors>
      <color rgb="FFFD6B6B"/>
      <color rgb="FF062B03"/>
      <color rgb="FF800000"/>
      <color rgb="FF990000"/>
      <color rgb="FF000000"/>
      <color rgb="FF78082B"/>
      <color rgb="FFAA769B"/>
      <color rgb="FFD06E85"/>
      <color rgb="FFC262A4"/>
      <color rgb="FFD239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AU" b="1">
                <a:solidFill>
                  <a:schemeClr val="tx1">
                    <a:lumMod val="85000"/>
                    <a:lumOff val="15000"/>
                  </a:schemeClr>
                </a:solidFill>
              </a:rPr>
              <a:t>UK exports</a:t>
            </a:r>
            <a:r>
              <a:rPr lang="en-AU" b="1" baseline="0">
                <a:solidFill>
                  <a:schemeClr val="tx1">
                    <a:lumMod val="85000"/>
                    <a:lumOff val="15000"/>
                  </a:schemeClr>
                </a:solidFill>
              </a:rPr>
              <a:t> to EU &amp; non-EU countries</a:t>
            </a:r>
            <a:r>
              <a:rPr lang="en-AU" b="1">
                <a:solidFill>
                  <a:schemeClr val="tx1">
                    <a:lumMod val="85000"/>
                    <a:lumOff val="15000"/>
                  </a:schemeClr>
                </a:solidFill>
              </a:rPr>
              <a:t>:</a:t>
            </a:r>
            <a:r>
              <a:rPr lang="en-AU" b="1" baseline="0">
                <a:solidFill>
                  <a:schemeClr val="tx1">
                    <a:lumMod val="85000"/>
                    <a:lumOff val="15000"/>
                  </a:schemeClr>
                </a:solidFill>
              </a:rPr>
              <a:t> 2017</a:t>
            </a:r>
            <a:endParaRPr lang="en-AU" b="1">
              <a:solidFill>
                <a:schemeClr val="tx1">
                  <a:lumMod val="85000"/>
                  <a:lumOff val="15000"/>
                </a:schemeClr>
              </a:solidFill>
            </a:endParaRPr>
          </a:p>
        </c:rich>
      </c:tx>
      <c:layout>
        <c:manualLayout>
          <c:xMode val="edge"/>
          <c:yMode val="edge"/>
          <c:x val="0.14183689414787873"/>
          <c:y val="3.161945950475079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0.13700874167588556"/>
          <c:y val="0.20359375000000002"/>
          <c:w val="0.83268822802108411"/>
          <c:h val="0.55739583333333331"/>
        </c:manualLayout>
      </c:layout>
      <c:barChart>
        <c:barDir val="col"/>
        <c:grouping val="stacked"/>
        <c:varyColors val="0"/>
        <c:ser>
          <c:idx val="0"/>
          <c:order val="0"/>
          <c:tx>
            <c:strRef>
              <c:f>'1. All Trade'!$A$7</c:f>
              <c:strCache>
                <c:ptCount val="1"/>
                <c:pt idx="0">
                  <c:v>Goods (£bn)</c:v>
                </c:pt>
              </c:strCache>
            </c:strRef>
          </c:tx>
          <c:spPr>
            <a:solidFill>
              <a:srgbClr val="002060"/>
            </a:solidFill>
            <a:ln w="12700">
              <a:solidFill>
                <a:sysClr val="windowText" lastClr="000000"/>
              </a:solidFill>
            </a:ln>
            <a:effectLst/>
          </c:spPr>
          <c:invertIfNegative val="0"/>
          <c:dLbls>
            <c:dLbl>
              <c:idx val="0"/>
              <c:tx>
                <c:rich>
                  <a:bodyPr/>
                  <a:lstStyle/>
                  <a:p>
                    <a:fld id="{A2EF2BAC-BCB9-4818-A401-2417AA94245A}" type="VALUE">
                      <a:rPr lang="en-US"/>
                      <a:pPr/>
                      <a:t>[VALUE]</a:t>
                    </a:fld>
                    <a:r>
                      <a:rPr lang="en-US"/>
                      <a:t>bn</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70DB-4ECE-A153-37AFA50143C7}"/>
                </c:ext>
              </c:extLst>
            </c:dLbl>
            <c:dLbl>
              <c:idx val="1"/>
              <c:tx>
                <c:rich>
                  <a:bodyPr/>
                  <a:lstStyle/>
                  <a:p>
                    <a:fld id="{5C6CD886-5F17-4636-861F-E6E95FB0D6CD}" type="VALUE">
                      <a:rPr lang="en-US"/>
                      <a:pPr/>
                      <a:t>[VALUE]</a:t>
                    </a:fld>
                    <a:r>
                      <a:rPr lang="en-US"/>
                      <a:t> bn</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70DB-4ECE-A153-37AFA50143C7}"/>
                </c:ext>
              </c:extLst>
            </c:dLbl>
            <c:numFmt formatCode="_-[$£-809]* #,##0_-;\-[$£-809]* #,##0_-;_-[$£-809]*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Trade'!$B$6:$C$6</c:f>
              <c:strCache>
                <c:ptCount val="2"/>
                <c:pt idx="0">
                  <c:v>EU</c:v>
                </c:pt>
                <c:pt idx="1">
                  <c:v>Non-EU</c:v>
                </c:pt>
              </c:strCache>
            </c:strRef>
          </c:cat>
          <c:val>
            <c:numRef>
              <c:f>'1. All Trade'!$B$7:$C$7</c:f>
              <c:numCache>
                <c:formatCode>_-[$£-809]* #,##0.0_-;\-[$£-809]* #,##0.0_-;_-[$£-809]* "-"??_-;_-@_-</c:formatCode>
                <c:ptCount val="2"/>
                <c:pt idx="0">
                  <c:v>164.08099999999999</c:v>
                </c:pt>
                <c:pt idx="1">
                  <c:v>174.65799999999999</c:v>
                </c:pt>
              </c:numCache>
            </c:numRef>
          </c:val>
          <c:extLst>
            <c:ext xmlns:c16="http://schemas.microsoft.com/office/drawing/2014/chart" uri="{C3380CC4-5D6E-409C-BE32-E72D297353CC}">
              <c16:uniqueId val="{00000000-70DB-4ECE-A153-37AFA50143C7}"/>
            </c:ext>
          </c:extLst>
        </c:ser>
        <c:ser>
          <c:idx val="1"/>
          <c:order val="1"/>
          <c:tx>
            <c:strRef>
              <c:f>'1. All Trade'!$A$8</c:f>
              <c:strCache>
                <c:ptCount val="1"/>
                <c:pt idx="0">
                  <c:v>Services (£bn)*</c:v>
                </c:pt>
              </c:strCache>
            </c:strRef>
          </c:tx>
          <c:spPr>
            <a:solidFill>
              <a:srgbClr val="C00000"/>
            </a:solidFill>
            <a:ln w="12700" cmpd="sng">
              <a:solidFill>
                <a:srgbClr val="800000"/>
              </a:solidFill>
            </a:ln>
            <a:effectLst/>
          </c:spPr>
          <c:invertIfNegative val="0"/>
          <c:dLbls>
            <c:dLbl>
              <c:idx val="0"/>
              <c:tx>
                <c:rich>
                  <a:bodyPr/>
                  <a:lstStyle/>
                  <a:p>
                    <a:fld id="{5B94571F-9F7F-49A4-B22C-C2F7DC234E8F}" type="VALUE">
                      <a:rPr lang="en-US"/>
                      <a:pPr/>
                      <a:t>[VALUE]</a:t>
                    </a:fld>
                    <a:r>
                      <a:rPr lang="en-US"/>
                      <a:t>bn</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70DB-4ECE-A153-37AFA50143C7}"/>
                </c:ext>
              </c:extLst>
            </c:dLbl>
            <c:dLbl>
              <c:idx val="1"/>
              <c:tx>
                <c:rich>
                  <a:bodyPr/>
                  <a:lstStyle/>
                  <a:p>
                    <a:fld id="{6CEC8278-BBCF-4067-BF92-035A830CB487}" type="VALUE">
                      <a:rPr lang="en-US"/>
                      <a:pPr/>
                      <a:t>[VALUE]</a:t>
                    </a:fld>
                    <a:r>
                      <a:rPr lang="en-US"/>
                      <a:t>bn</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70DB-4ECE-A153-37AFA50143C7}"/>
                </c:ext>
              </c:extLst>
            </c:dLbl>
            <c:numFmt formatCode="_-[$£-809]* #,##0_-;\-[$£-809]* #,##0_-;_-[$£-809]*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Trade'!$B$6:$C$6</c:f>
              <c:strCache>
                <c:ptCount val="2"/>
                <c:pt idx="0">
                  <c:v>EU</c:v>
                </c:pt>
                <c:pt idx="1">
                  <c:v>Non-EU</c:v>
                </c:pt>
              </c:strCache>
            </c:strRef>
          </c:cat>
          <c:val>
            <c:numRef>
              <c:f>'1. All Trade'!$B$8:$C$8</c:f>
              <c:numCache>
                <c:formatCode>_-[$£-809]* #,##0.0_-;\-[$£-809]* #,##0.0_-;_-[$£-809]* "-"??_-;_-@_-</c:formatCode>
                <c:ptCount val="2"/>
                <c:pt idx="0">
                  <c:v>117.05</c:v>
                </c:pt>
                <c:pt idx="1">
                  <c:v>161.97399999999999</c:v>
                </c:pt>
              </c:numCache>
            </c:numRef>
          </c:val>
          <c:extLst>
            <c:ext xmlns:c16="http://schemas.microsoft.com/office/drawing/2014/chart" uri="{C3380CC4-5D6E-409C-BE32-E72D297353CC}">
              <c16:uniqueId val="{00000001-70DB-4ECE-A153-37AFA50143C7}"/>
            </c:ext>
          </c:extLst>
        </c:ser>
        <c:dLbls>
          <c:dLblPos val="ctr"/>
          <c:showLegendKey val="0"/>
          <c:showVal val="1"/>
          <c:showCatName val="0"/>
          <c:showSerName val="0"/>
          <c:showPercent val="0"/>
          <c:showBubbleSize val="0"/>
        </c:dLbls>
        <c:gapWidth val="150"/>
        <c:overlap val="100"/>
        <c:axId val="607280504"/>
        <c:axId val="607277224"/>
      </c:barChart>
      <c:catAx>
        <c:axId val="607280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crossAx val="607277224"/>
        <c:crosses val="autoZero"/>
        <c:auto val="1"/>
        <c:lblAlgn val="ctr"/>
        <c:lblOffset val="100"/>
        <c:noMultiLvlLbl val="0"/>
      </c:catAx>
      <c:valAx>
        <c:axId val="607277224"/>
        <c:scaling>
          <c:orientation val="minMax"/>
          <c:max val="3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r>
                  <a:rPr lang="en-AU">
                    <a:solidFill>
                      <a:schemeClr val="tx1">
                        <a:lumMod val="85000"/>
                        <a:lumOff val="15000"/>
                      </a:schemeClr>
                    </a:solidFill>
                  </a:rPr>
                  <a:t>£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85000"/>
                    <a:lumOff val="15000"/>
                  </a:schemeClr>
                </a:solidFill>
                <a:latin typeface="+mn-lt"/>
                <a:ea typeface="+mn-ea"/>
                <a:cs typeface="+mn-cs"/>
              </a:defRPr>
            </a:pPr>
            <a:endParaRPr lang="en-US"/>
          </a:p>
        </c:txPr>
        <c:crossAx val="607280504"/>
        <c:crosses val="autoZero"/>
        <c:crossBetween val="between"/>
      </c:valAx>
      <c:spPr>
        <a:noFill/>
        <a:ln w="12700">
          <a:solidFill>
            <a:schemeClr val="bg1">
              <a:lumMod val="95000"/>
            </a:schemeClr>
          </a:solid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85000"/>
                  <a:lumOff val="1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1" i="0" u="none" strike="noStrike" kern="1200" spc="0" baseline="0">
                <a:solidFill>
                  <a:schemeClr val="tx1">
                    <a:lumMod val="75000"/>
                    <a:lumOff val="25000"/>
                  </a:schemeClr>
                </a:solidFill>
                <a:latin typeface="+mn-lt"/>
                <a:ea typeface="+mn-ea"/>
                <a:cs typeface="+mn-cs"/>
              </a:defRPr>
            </a:pPr>
            <a:r>
              <a:rPr lang="en-AU">
                <a:solidFill>
                  <a:schemeClr val="tx1">
                    <a:lumMod val="75000"/>
                    <a:lumOff val="25000"/>
                  </a:schemeClr>
                </a:solidFill>
              </a:rPr>
              <a:t>Annual growth in UK trade in services (CAGR): 1999 – 2017</a:t>
            </a:r>
          </a:p>
        </c:rich>
      </c:tx>
      <c:layout>
        <c:manualLayout>
          <c:xMode val="edge"/>
          <c:yMode val="edge"/>
          <c:x val="0.16874517963158933"/>
          <c:y val="3.3670033670033669E-2"/>
        </c:manualLayout>
      </c:layout>
      <c:overlay val="0"/>
      <c:spPr>
        <a:noFill/>
        <a:ln>
          <a:noFill/>
        </a:ln>
        <a:effectLst/>
      </c:spPr>
      <c:txPr>
        <a:bodyPr rot="0" spcFirstLastPara="1" vertOverflow="ellipsis" vert="horz" wrap="square" anchor="ctr" anchorCtr="1"/>
        <a:lstStyle/>
        <a:p>
          <a:pPr>
            <a:defRPr sz="126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0.14137888186884087"/>
          <c:y val="0.14710183025005752"/>
          <c:w val="0.8201023434370468"/>
          <c:h val="0.59503435598053278"/>
        </c:manualLayout>
      </c:layout>
      <c:barChart>
        <c:barDir val="bar"/>
        <c:grouping val="clustered"/>
        <c:varyColors val="0"/>
        <c:ser>
          <c:idx val="0"/>
          <c:order val="0"/>
          <c:tx>
            <c:strRef>
              <c:f>'2. Trade in Services'!$B$117</c:f>
              <c:strCache>
                <c:ptCount val="1"/>
                <c:pt idx="0">
                  <c:v>EU</c:v>
                </c:pt>
              </c:strCache>
            </c:strRef>
          </c:tx>
          <c:spPr>
            <a:solidFill>
              <a:srgbClr val="C00000"/>
            </a:solidFill>
            <a:ln>
              <a:solidFill>
                <a:srgbClr val="990000"/>
              </a:solidFill>
            </a:ln>
            <a:effectLst/>
          </c:spPr>
          <c:invertIfNegative val="0"/>
          <c:dPt>
            <c:idx val="0"/>
            <c:invertIfNegative val="0"/>
            <c:bubble3D val="0"/>
            <c:spPr>
              <a:solidFill>
                <a:srgbClr val="C00000"/>
              </a:solidFill>
              <a:ln>
                <a:solidFill>
                  <a:srgbClr val="990000"/>
                </a:solidFill>
              </a:ln>
              <a:effectLst/>
            </c:spPr>
            <c:extLst>
              <c:ext xmlns:c16="http://schemas.microsoft.com/office/drawing/2014/chart" uri="{C3380CC4-5D6E-409C-BE32-E72D297353CC}">
                <c16:uniqueId val="{00000006-2A7D-43FB-BC5C-D72AC797BDF1}"/>
              </c:ext>
            </c:extLst>
          </c:dPt>
          <c:dPt>
            <c:idx val="1"/>
            <c:invertIfNegative val="0"/>
            <c:bubble3D val="0"/>
            <c:spPr>
              <a:solidFill>
                <a:srgbClr val="C00000"/>
              </a:solidFill>
              <a:ln>
                <a:solidFill>
                  <a:srgbClr val="990000"/>
                </a:solidFill>
              </a:ln>
              <a:effectLst/>
            </c:spPr>
            <c:extLst>
              <c:ext xmlns:c16="http://schemas.microsoft.com/office/drawing/2014/chart" uri="{C3380CC4-5D6E-409C-BE32-E72D297353CC}">
                <c16:uniqueId val="{0000000A-2A7D-43FB-BC5C-D72AC797BDF1}"/>
              </c:ext>
            </c:extLst>
          </c:dPt>
          <c:dLbls>
            <c:dLbl>
              <c:idx val="1"/>
              <c:layout>
                <c:manualLayout>
                  <c:x val="2.4566595790345472E-3"/>
                  <c:y val="4.530932905492442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A7D-43FB-BC5C-D72AC797BDF1}"/>
                </c:ext>
              </c:extLst>
            </c:dLbl>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Trade in Services'!$A$118:$A$119</c:f>
              <c:strCache>
                <c:ptCount val="2"/>
                <c:pt idx="0">
                  <c:v>Exports </c:v>
                </c:pt>
                <c:pt idx="1">
                  <c:v>Imports</c:v>
                </c:pt>
              </c:strCache>
            </c:strRef>
          </c:cat>
          <c:val>
            <c:numRef>
              <c:f>'2. Trade in Services'!$B$118:$B$119</c:f>
              <c:numCache>
                <c:formatCode>0.0%</c:formatCode>
                <c:ptCount val="2"/>
                <c:pt idx="0">
                  <c:v>5.2002671047515214E-2</c:v>
                </c:pt>
                <c:pt idx="1">
                  <c:v>3.0100121196344087E-2</c:v>
                </c:pt>
              </c:numCache>
            </c:numRef>
          </c:val>
          <c:extLst>
            <c:ext xmlns:c16="http://schemas.microsoft.com/office/drawing/2014/chart" uri="{C3380CC4-5D6E-409C-BE32-E72D297353CC}">
              <c16:uniqueId val="{00000000-F123-4906-9CCA-A66FC7B66C33}"/>
            </c:ext>
          </c:extLst>
        </c:ser>
        <c:ser>
          <c:idx val="1"/>
          <c:order val="1"/>
          <c:tx>
            <c:strRef>
              <c:f>'2. Trade in Services'!$C$117</c:f>
              <c:strCache>
                <c:ptCount val="1"/>
                <c:pt idx="0">
                  <c:v>Non-EU </c:v>
                </c:pt>
              </c:strCache>
            </c:strRef>
          </c:tx>
          <c:spPr>
            <a:solidFill>
              <a:srgbClr val="001C54"/>
            </a:solidFill>
            <a:ln>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Services'!$A$118:$A$119</c:f>
              <c:strCache>
                <c:ptCount val="2"/>
                <c:pt idx="0">
                  <c:v>Exports </c:v>
                </c:pt>
                <c:pt idx="1">
                  <c:v>Imports</c:v>
                </c:pt>
              </c:strCache>
            </c:strRef>
          </c:cat>
          <c:val>
            <c:numRef>
              <c:f>'2. Trade in Services'!$C$118:$C$119</c:f>
              <c:numCache>
                <c:formatCode>0.0%</c:formatCode>
                <c:ptCount val="2"/>
                <c:pt idx="0">
                  <c:v>5.5755152274452824E-2</c:v>
                </c:pt>
                <c:pt idx="1">
                  <c:v>4.7306337249057862E-2</c:v>
                </c:pt>
              </c:numCache>
            </c:numRef>
          </c:val>
          <c:extLst>
            <c:ext xmlns:c16="http://schemas.microsoft.com/office/drawing/2014/chart" uri="{C3380CC4-5D6E-409C-BE32-E72D297353CC}">
              <c16:uniqueId val="{00000001-F123-4906-9CCA-A66FC7B66C33}"/>
            </c:ext>
          </c:extLst>
        </c:ser>
        <c:dLbls>
          <c:dLblPos val="outEnd"/>
          <c:showLegendKey val="0"/>
          <c:showVal val="1"/>
          <c:showCatName val="0"/>
          <c:showSerName val="0"/>
          <c:showPercent val="0"/>
          <c:showBubbleSize val="0"/>
        </c:dLbls>
        <c:gapWidth val="99"/>
        <c:overlap val="-34"/>
        <c:axId val="513763280"/>
        <c:axId val="513760656"/>
      </c:barChart>
      <c:catAx>
        <c:axId val="5137632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13760656"/>
        <c:crosses val="autoZero"/>
        <c:auto val="1"/>
        <c:lblAlgn val="ctr"/>
        <c:lblOffset val="100"/>
        <c:noMultiLvlLbl val="0"/>
      </c:catAx>
      <c:valAx>
        <c:axId val="5137606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13763280"/>
        <c:crosses val="autoZero"/>
        <c:crossBetween val="between"/>
      </c:valAx>
      <c:spPr>
        <a:noFill/>
        <a:ln w="6350">
          <a:solidFill>
            <a:schemeClr val="tx1">
              <a:lumMod val="15000"/>
              <a:lumOff val="85000"/>
            </a:schemeClr>
          </a:solid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50" b="1"/>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r>
              <a:rPr lang="en-AU" sz="1260" b="1" i="0" u="none" strike="noStrike" kern="1200" spc="0" baseline="0">
                <a:solidFill>
                  <a:sysClr val="windowText" lastClr="000000">
                    <a:lumMod val="65000"/>
                    <a:lumOff val="35000"/>
                  </a:sysClr>
                </a:solidFill>
                <a:latin typeface="+mn-lt"/>
                <a:ea typeface="+mn-ea"/>
                <a:cs typeface="+mn-cs"/>
              </a:rPr>
              <a:t>Growth in services exports to EU / non-EU countries</a:t>
            </a:r>
          </a:p>
          <a:p>
            <a:pPr>
              <a:defRPr lang="en-AU" sz="1260" b="1">
                <a:solidFill>
                  <a:sysClr val="windowText" lastClr="000000">
                    <a:lumMod val="65000"/>
                    <a:lumOff val="35000"/>
                  </a:sysClr>
                </a:solidFill>
              </a:defRPr>
            </a:pPr>
            <a:r>
              <a:rPr lang="en-AU" sz="1260" b="1" i="0" u="none" strike="noStrike" kern="1200" spc="0" baseline="0">
                <a:solidFill>
                  <a:sysClr val="windowText" lastClr="000000">
                    <a:lumMod val="65000"/>
                    <a:lumOff val="35000"/>
                  </a:sysClr>
                </a:solidFill>
                <a:latin typeface="+mn-lt"/>
                <a:ea typeface="+mn-ea"/>
                <a:cs typeface="+mn-cs"/>
              </a:rPr>
              <a:t> (real prices): 1998 </a:t>
            </a:r>
            <a:r>
              <a:rPr lang="en-AU" sz="1260" b="1" i="0" u="none" strike="noStrike" kern="1200" spc="0" baseline="0">
                <a:solidFill>
                  <a:sysClr val="windowText" lastClr="000000">
                    <a:lumMod val="65000"/>
                    <a:lumOff val="35000"/>
                  </a:sysClr>
                </a:solidFill>
                <a:latin typeface="Calibri" panose="020F0502020204030204" pitchFamily="34" charset="0"/>
                <a:ea typeface="+mn-ea"/>
                <a:cs typeface="Calibri" panose="020F0502020204030204" pitchFamily="34" charset="0"/>
              </a:rPr>
              <a:t>– 2017</a:t>
            </a:r>
            <a:endParaRPr lang="en-AU" sz="1260" b="1" i="0" u="none" strike="noStrike" kern="1200" spc="0" baseline="0">
              <a:solidFill>
                <a:sysClr val="windowText" lastClr="000000">
                  <a:lumMod val="65000"/>
                  <a:lumOff val="35000"/>
                </a:sysClr>
              </a:solidFill>
              <a:latin typeface="+mn-lt"/>
              <a:ea typeface="+mn-ea"/>
              <a:cs typeface="+mn-cs"/>
            </a:endParaRPr>
          </a:p>
        </c:rich>
      </c:tx>
      <c:overlay val="0"/>
      <c:spPr>
        <a:noFill/>
        <a:ln>
          <a:noFill/>
        </a:ln>
        <a:effectLst/>
      </c:spPr>
      <c:txPr>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0.13701422349976264"/>
          <c:y val="0.18469198489040617"/>
          <c:w val="0.8352266935474737"/>
          <c:h val="0.62908319519845202"/>
        </c:manualLayout>
      </c:layout>
      <c:barChart>
        <c:barDir val="col"/>
        <c:grouping val="clustered"/>
        <c:varyColors val="0"/>
        <c:ser>
          <c:idx val="0"/>
          <c:order val="0"/>
          <c:tx>
            <c:strRef>
              <c:f>'2. Trade in Services'!$B$101</c:f>
              <c:strCache>
                <c:ptCount val="1"/>
                <c:pt idx="0">
                  <c:v> Exports  1999-2001 (£bn)</c:v>
                </c:pt>
              </c:strCache>
            </c:strRef>
          </c:tx>
          <c:spPr>
            <a:solidFill>
              <a:srgbClr val="C00000"/>
            </a:solidFill>
            <a:ln w="12700">
              <a:solidFill>
                <a:srgbClr val="990000"/>
              </a:solidFill>
            </a:ln>
            <a:effectLst/>
          </c:spPr>
          <c:invertIfNegative val="0"/>
          <c:dLbls>
            <c:numFmt formatCode="[$£-809]#,##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Services'!$A$102:$A$103</c:f>
              <c:strCache>
                <c:ptCount val="2"/>
                <c:pt idx="0">
                  <c:v>EU</c:v>
                </c:pt>
                <c:pt idx="1">
                  <c:v>Non-EU</c:v>
                </c:pt>
              </c:strCache>
            </c:strRef>
          </c:cat>
          <c:val>
            <c:numRef>
              <c:f>'2. Trade in Services'!$B$102:$B$103</c:f>
              <c:numCache>
                <c:formatCode>0.0</c:formatCode>
                <c:ptCount val="2"/>
                <c:pt idx="0">
                  <c:v>42.936227819452746</c:v>
                </c:pt>
                <c:pt idx="1">
                  <c:v>61.528367347582957</c:v>
                </c:pt>
              </c:numCache>
            </c:numRef>
          </c:val>
          <c:extLst>
            <c:ext xmlns:c16="http://schemas.microsoft.com/office/drawing/2014/chart" uri="{C3380CC4-5D6E-409C-BE32-E72D297353CC}">
              <c16:uniqueId val="{00000004-7311-44DC-BD35-727CA4150BD8}"/>
            </c:ext>
          </c:extLst>
        </c:ser>
        <c:ser>
          <c:idx val="1"/>
          <c:order val="1"/>
          <c:tx>
            <c:strRef>
              <c:f>'2. Trade in Services'!$C$101</c:f>
              <c:strCache>
                <c:ptCount val="1"/>
                <c:pt idx="0">
                  <c:v>Exports  2015-2017 (£bn)</c:v>
                </c:pt>
              </c:strCache>
            </c:strRef>
          </c:tx>
          <c:spPr>
            <a:solidFill>
              <a:srgbClr val="001C54"/>
            </a:solidFill>
            <a:ln w="12700">
              <a:solidFill>
                <a:sysClr val="windowText" lastClr="000000"/>
              </a:solidFill>
            </a:ln>
            <a:effectLst/>
          </c:spPr>
          <c:invertIfNegative val="0"/>
          <c:dLbls>
            <c:numFmt formatCode="_-[$£-809]* #,##0.0_-;\-[$£-809]* #,##0.0_-;_-[$£-809]*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Services'!$A$102:$A$103</c:f>
              <c:strCache>
                <c:ptCount val="2"/>
                <c:pt idx="0">
                  <c:v>EU</c:v>
                </c:pt>
                <c:pt idx="1">
                  <c:v>Non-EU</c:v>
                </c:pt>
              </c:strCache>
            </c:strRef>
          </c:cat>
          <c:val>
            <c:numRef>
              <c:f>'2. Trade in Services'!$C$102:$C$103</c:f>
              <c:numCache>
                <c:formatCode>0.0</c:formatCode>
                <c:ptCount val="2"/>
                <c:pt idx="0">
                  <c:v>96.625858736331438</c:v>
                </c:pt>
                <c:pt idx="1">
                  <c:v>146.5840591528752</c:v>
                </c:pt>
              </c:numCache>
            </c:numRef>
          </c:val>
          <c:extLst>
            <c:ext xmlns:c16="http://schemas.microsoft.com/office/drawing/2014/chart" uri="{C3380CC4-5D6E-409C-BE32-E72D297353CC}">
              <c16:uniqueId val="{00000005-7311-44DC-BD35-727CA4150BD8}"/>
            </c:ext>
          </c:extLst>
        </c:ser>
        <c:dLbls>
          <c:dLblPos val="inEnd"/>
          <c:showLegendKey val="0"/>
          <c:showVal val="1"/>
          <c:showCatName val="0"/>
          <c:showSerName val="0"/>
          <c:showPercent val="0"/>
          <c:showBubbleSize val="0"/>
        </c:dLbls>
        <c:gapWidth val="138"/>
        <c:overlap val="-27"/>
        <c:axId val="576780144"/>
        <c:axId val="576773256"/>
        <c:extLst>
          <c:ext xmlns:c15="http://schemas.microsoft.com/office/drawing/2012/chart" uri="{02D57815-91ED-43cb-92C2-25804820EDAC}">
            <c15:filteredBarSeries>
              <c15:ser>
                <c:idx val="2"/>
                <c:order val="2"/>
                <c:tx>
                  <c:strRef>
                    <c:extLst>
                      <c:ext uri="{02D57815-91ED-43cb-92C2-25804820EDAC}">
                        <c15:formulaRef>
                          <c15:sqref>'2. Trade in Services'!$D$101</c15:sqref>
                        </c15:formulaRef>
                      </c:ext>
                    </c:extLst>
                    <c:strCache>
                      <c:ptCount val="1"/>
                      <c:pt idx="0">
                        <c:v> Imports  1999-2001 (£bn)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'2. Trade in Services'!$A$102:$A$103</c15:sqref>
                        </c15:formulaRef>
                      </c:ext>
                    </c:extLst>
                    <c:strCache>
                      <c:ptCount val="2"/>
                      <c:pt idx="0">
                        <c:v>EU</c:v>
                      </c:pt>
                      <c:pt idx="1">
                        <c:v>Non-EU</c:v>
                      </c:pt>
                    </c:strCache>
                  </c:strRef>
                </c:cat>
                <c:val>
                  <c:numRef>
                    <c:extLst>
                      <c:ext uri="{02D57815-91ED-43cb-92C2-25804820EDAC}">
                        <c15:formulaRef>
                          <c15:sqref>'2. Trade in Services'!$D$102:$D$103</c15:sqref>
                        </c15:formulaRef>
                      </c:ext>
                    </c:extLst>
                    <c:numCache>
                      <c:formatCode>0.0</c:formatCode>
                      <c:ptCount val="2"/>
                      <c:pt idx="0">
                        <c:v>45.164281844345851</c:v>
                      </c:pt>
                      <c:pt idx="1">
                        <c:v>35.932206413159356</c:v>
                      </c:pt>
                    </c:numCache>
                  </c:numRef>
                </c:val>
                <c:extLst>
                  <c:ext xmlns:c16="http://schemas.microsoft.com/office/drawing/2014/chart" uri="{C3380CC4-5D6E-409C-BE32-E72D297353CC}">
                    <c16:uniqueId val="{00000000-64A7-4434-A451-30C603D2669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'2. Trade in Services'!$E$101</c15:sqref>
                        </c15:formulaRef>
                      </c:ext>
                    </c:extLst>
                    <c:strCache>
                      <c:ptCount val="1"/>
                      <c:pt idx="0">
                        <c:v>Imports   2015-2017 (£bn)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'2. Trade in Services'!$A$102:$A$103</c15:sqref>
                        </c15:formulaRef>
                      </c:ext>
                    </c:extLst>
                    <c:strCache>
                      <c:ptCount val="2"/>
                      <c:pt idx="0">
                        <c:v>EU</c:v>
                      </c:pt>
                      <c:pt idx="1">
                        <c:v>Non-EU</c:v>
                      </c:pt>
                    </c:strCache>
                  </c:strRef>
                </c:cat>
                <c:val>
                  <c:numRef>
                    <c:extLst xmlns:c15="http://schemas.microsoft.com/office/drawing/2012/chart">
                      <c:ext xmlns:c15="http://schemas.microsoft.com/office/drawing/2012/chart" uri="{02D57815-91ED-43cb-92C2-25804820EDAC}">
                        <c15:formulaRef>
                          <c15:sqref>'2. Trade in Services'!$E$102:$E$103</c15:sqref>
                        </c15:formulaRef>
                      </c:ext>
                    </c:extLst>
                    <c:numCache>
                      <c:formatCode>0.0</c:formatCode>
                      <c:ptCount val="2"/>
                      <c:pt idx="0">
                        <c:v>72.58821572094196</c:v>
                      </c:pt>
                      <c:pt idx="1">
                        <c:v>75.277222945154222</c:v>
                      </c:pt>
                    </c:numCache>
                  </c:numRef>
                </c:val>
                <c:extLst xmlns:c15="http://schemas.microsoft.com/office/drawing/2012/chart">
                  <c:ext xmlns:c16="http://schemas.microsoft.com/office/drawing/2014/chart" uri="{C3380CC4-5D6E-409C-BE32-E72D297353CC}">
                    <c16:uniqueId val="{00000001-64A7-4434-A451-30C603D2669D}"/>
                  </c:ext>
                </c:extLst>
              </c15:ser>
            </c15:filteredBarSeries>
          </c:ext>
        </c:extLst>
      </c:barChart>
      <c:catAx>
        <c:axId val="57678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76773256"/>
        <c:crosses val="autoZero"/>
        <c:auto val="1"/>
        <c:lblAlgn val="ctr"/>
        <c:lblOffset val="100"/>
        <c:noMultiLvlLbl val="0"/>
      </c:catAx>
      <c:valAx>
        <c:axId val="576773256"/>
        <c:scaling>
          <c:orientation val="minMax"/>
          <c:max val="1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809]#,##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780144"/>
        <c:crosses val="autoZero"/>
        <c:crossBetween val="between"/>
      </c:valAx>
      <c:spPr>
        <a:noFill/>
        <a:ln w="25400">
          <a:noFill/>
        </a:ln>
        <a:effectLst/>
      </c:spPr>
    </c:plotArea>
    <c:legend>
      <c:legendPos val="b"/>
      <c:layout>
        <c:manualLayout>
          <c:xMode val="edge"/>
          <c:yMode val="edge"/>
          <c:x val="0.1653433694292134"/>
          <c:y val="0.87912003191753862"/>
          <c:w val="0.71646911619235676"/>
          <c:h val="0.1012977100707929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cap="none" spc="50" baseline="0">
                <a:solidFill>
                  <a:sysClr val="windowText" lastClr="000000">
                    <a:lumMod val="65000"/>
                    <a:lumOff val="35000"/>
                  </a:sysClr>
                </a:solidFill>
                <a:latin typeface="+mn-lt"/>
                <a:ea typeface="+mn-ea"/>
                <a:cs typeface="+mn-cs"/>
              </a:defRPr>
            </a:pPr>
            <a:r>
              <a:rPr lang="en-AU" cap="none" baseline="0"/>
              <a:t>UK services exports: 2016</a:t>
            </a:r>
          </a:p>
          <a:p>
            <a:pPr marL="0" marR="0" lvl="0" indent="0" algn="ctr" defTabSz="914400" rtl="0" eaLnBrk="1" fontAlgn="auto" latinLnBrk="0" hangingPunct="1">
              <a:lnSpc>
                <a:spcPct val="100000"/>
              </a:lnSpc>
              <a:spcBef>
                <a:spcPts val="0"/>
              </a:spcBef>
              <a:spcAft>
                <a:spcPts val="0"/>
              </a:spcAft>
              <a:buClrTx/>
              <a:buSzTx/>
              <a:buFontTx/>
              <a:buNone/>
              <a:tabLst/>
              <a:defRPr cap="none">
                <a:solidFill>
                  <a:sysClr val="windowText" lastClr="000000">
                    <a:lumMod val="65000"/>
                    <a:lumOff val="35000"/>
                  </a:sysClr>
                </a:solidFill>
              </a:defRPr>
            </a:pPr>
            <a:r>
              <a:rPr lang="en-AU" sz="1200" b="1" i="0" baseline="0">
                <a:effectLst/>
              </a:rPr>
              <a:t>Total: £245.4</a:t>
            </a:r>
            <a:endParaRPr lang="en-AU" sz="1050">
              <a:effectLst/>
            </a:endParaRPr>
          </a:p>
        </c:rich>
      </c:tx>
      <c:layout>
        <c:manualLayout>
          <c:xMode val="edge"/>
          <c:yMode val="edge"/>
          <c:x val="7.5324229845718627E-2"/>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cap="none" spc="5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5.6751454812609271E-2"/>
          <c:y val="0.23828979109993328"/>
          <c:w val="0.48177434549304327"/>
          <c:h val="0.66027173873193479"/>
        </c:manualLayout>
      </c:layout>
      <c:doughnutChart>
        <c:varyColors val="1"/>
        <c:ser>
          <c:idx val="0"/>
          <c:order val="0"/>
          <c:dPt>
            <c:idx val="0"/>
            <c:bubble3D val="0"/>
            <c:spPr>
              <a:solidFill>
                <a:srgbClr val="001C5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C1ED-4BB2-BC60-E7C517A0DE93}"/>
              </c:ext>
            </c:extLst>
          </c:dPt>
          <c:dPt>
            <c:idx val="1"/>
            <c:bubble3D val="0"/>
            <c:spPr>
              <a:solidFill>
                <a:schemeClr val="accent1">
                  <a:lumMod val="75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C1ED-4BB2-BC60-E7C517A0DE93}"/>
              </c:ext>
            </c:extLst>
          </c:dPt>
          <c:dPt>
            <c:idx val="2"/>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C1ED-4BB2-BC60-E7C517A0DE93}"/>
              </c:ext>
            </c:extLst>
          </c:dPt>
          <c:dPt>
            <c:idx val="3"/>
            <c:bubble3D val="0"/>
            <c:spPr>
              <a:solidFill>
                <a:schemeClr val="accent1">
                  <a:lumMod val="60000"/>
                  <a:lumOff val="4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C1ED-4BB2-BC60-E7C517A0DE93}"/>
              </c:ext>
            </c:extLst>
          </c:dPt>
          <c:dPt>
            <c:idx val="4"/>
            <c:bubble3D val="0"/>
            <c:spPr>
              <a:solidFill>
                <a:schemeClr val="accent1">
                  <a:lumMod val="40000"/>
                  <a:lumOff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C1ED-4BB2-BC60-E7C517A0DE93}"/>
              </c:ext>
            </c:extLst>
          </c:dPt>
          <c:dPt>
            <c:idx val="5"/>
            <c:bubble3D val="0"/>
            <c:spPr>
              <a:solidFill>
                <a:schemeClr val="accent5">
                  <a:lumMod val="20000"/>
                  <a:lumOff val="8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C1ED-4BB2-BC60-E7C517A0DE93}"/>
              </c:ext>
            </c:extLst>
          </c:dPt>
          <c:dPt>
            <c:idx val="6"/>
            <c:bubble3D val="0"/>
            <c:spPr>
              <a:solidFill>
                <a:schemeClr val="bg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C1ED-4BB2-BC60-E7C517A0DE93}"/>
              </c:ext>
            </c:extLst>
          </c:dPt>
          <c:dPt>
            <c:idx val="7"/>
            <c:bubble3D val="0"/>
            <c:spPr>
              <a:solidFill>
                <a:schemeClr val="bg1">
                  <a:lumMod val="95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F-C1ED-4BB2-BC60-E7C517A0DE93}"/>
              </c:ext>
            </c:extLst>
          </c:dPt>
          <c:dPt>
            <c:idx val="8"/>
            <c:bubble3D val="0"/>
            <c:spPr>
              <a:solidFill>
                <a:schemeClr val="bg1">
                  <a:lumMod val="85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1-C1ED-4BB2-BC60-E7C517A0DE93}"/>
              </c:ext>
            </c:extLst>
          </c:dPt>
          <c:dPt>
            <c:idx val="9"/>
            <c:bubble3D val="0"/>
            <c:spPr>
              <a:solidFill>
                <a:schemeClr val="bg1">
                  <a:lumMod val="75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3-C1ED-4BB2-BC60-E7C517A0DE93}"/>
              </c:ext>
            </c:extLst>
          </c:dPt>
          <c:dPt>
            <c:idx val="10"/>
            <c:bubble3D val="0"/>
            <c:spPr>
              <a:solidFill>
                <a:schemeClr val="bg1">
                  <a:lumMod val="65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5-C1ED-4BB2-BC60-E7C517A0DE93}"/>
              </c:ext>
            </c:extLst>
          </c:dPt>
          <c:dPt>
            <c:idx val="11"/>
            <c:bubble3D val="0"/>
            <c:spPr>
              <a:solidFill>
                <a:schemeClr val="bg1">
                  <a:lumMod val="5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7-3238-4515-85A3-6B6B1BAF8472}"/>
              </c:ext>
            </c:extLst>
          </c:dPt>
          <c:dLbls>
            <c:dLbl>
              <c:idx val="3"/>
              <c:numFmt formatCode="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7-C1ED-4BB2-BC60-E7C517A0DE93}"/>
                </c:ext>
              </c:extLst>
            </c:dLbl>
            <c:dLbl>
              <c:idx val="4"/>
              <c:numFmt formatCode="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9-C1ED-4BB2-BC60-E7C517A0DE93}"/>
                </c:ext>
              </c:extLst>
            </c:dLbl>
            <c:dLbl>
              <c:idx val="5"/>
              <c:numFmt formatCode="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B-C1ED-4BB2-BC60-E7C517A0DE93}"/>
                </c:ext>
              </c:extLst>
            </c:dLbl>
            <c:dLbl>
              <c:idx val="6"/>
              <c:numFmt formatCode="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D-C1ED-4BB2-BC60-E7C517A0DE93}"/>
                </c:ext>
              </c:extLst>
            </c:dLbl>
            <c:dLbl>
              <c:idx val="7"/>
              <c:delete val="1"/>
              <c:extLst>
                <c:ext xmlns:c15="http://schemas.microsoft.com/office/drawing/2012/chart" uri="{CE6537A1-D6FC-4f65-9D91-7224C49458BB}"/>
                <c:ext xmlns:c16="http://schemas.microsoft.com/office/drawing/2014/chart" uri="{C3380CC4-5D6E-409C-BE32-E72D297353CC}">
                  <c16:uniqueId val="{0000000F-C1ED-4BB2-BC60-E7C517A0DE93}"/>
                </c:ext>
              </c:extLst>
            </c:dLbl>
            <c:dLbl>
              <c:idx val="8"/>
              <c:delete val="1"/>
              <c:extLst>
                <c:ext xmlns:c15="http://schemas.microsoft.com/office/drawing/2012/chart" uri="{CE6537A1-D6FC-4f65-9D91-7224C49458BB}"/>
                <c:ext xmlns:c16="http://schemas.microsoft.com/office/drawing/2014/chart" uri="{C3380CC4-5D6E-409C-BE32-E72D297353CC}">
                  <c16:uniqueId val="{00000011-C1ED-4BB2-BC60-E7C517A0DE93}"/>
                </c:ext>
              </c:extLst>
            </c:dLbl>
            <c:dLbl>
              <c:idx val="9"/>
              <c:delete val="1"/>
              <c:extLst>
                <c:ext xmlns:c15="http://schemas.microsoft.com/office/drawing/2012/chart" uri="{CE6537A1-D6FC-4f65-9D91-7224C49458BB}"/>
                <c:ext xmlns:c16="http://schemas.microsoft.com/office/drawing/2014/chart" uri="{C3380CC4-5D6E-409C-BE32-E72D297353CC}">
                  <c16:uniqueId val="{00000013-C1ED-4BB2-BC60-E7C517A0DE93}"/>
                </c:ext>
              </c:extLst>
            </c:dLbl>
            <c:dLbl>
              <c:idx val="10"/>
              <c:delete val="1"/>
              <c:extLst>
                <c:ext xmlns:c15="http://schemas.microsoft.com/office/drawing/2012/chart" uri="{CE6537A1-D6FC-4f65-9D91-7224C49458BB}"/>
                <c:ext xmlns:c16="http://schemas.microsoft.com/office/drawing/2014/chart" uri="{C3380CC4-5D6E-409C-BE32-E72D297353CC}">
                  <c16:uniqueId val="{00000015-C1ED-4BB2-BC60-E7C517A0DE93}"/>
                </c:ext>
              </c:extLst>
            </c:dLbl>
            <c:dLbl>
              <c:idx val="11"/>
              <c:delete val="1"/>
              <c:extLst>
                <c:ext xmlns:c15="http://schemas.microsoft.com/office/drawing/2012/chart" uri="{CE6537A1-D6FC-4f65-9D91-7224C49458BB}"/>
                <c:ext xmlns:c16="http://schemas.microsoft.com/office/drawing/2014/chart" uri="{C3380CC4-5D6E-409C-BE32-E72D297353CC}">
                  <c16:uniqueId val="{00000017-3238-4515-85A3-6B6B1BAF847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'2. Trade in Services'!$A$51:$A$62</c:f>
              <c:strCache>
                <c:ptCount val="12"/>
                <c:pt idx="0">
                  <c:v> Other business services </c:v>
                </c:pt>
                <c:pt idx="1">
                  <c:v> Financial services </c:v>
                </c:pt>
                <c:pt idx="2">
                  <c:v> Travel </c:v>
                </c:pt>
                <c:pt idx="3">
                  <c:v> Transportation </c:v>
                </c:pt>
                <c:pt idx="4">
                  <c:v> Telecomunications, computers and IT </c:v>
                </c:pt>
                <c:pt idx="5">
                  <c:v> Insurance and pension </c:v>
                </c:pt>
                <c:pt idx="6">
                  <c:v> Intellectual property </c:v>
                </c:pt>
                <c:pt idx="7">
                  <c:v> Personal Cultural and Recreational </c:v>
                </c:pt>
                <c:pt idx="8">
                  <c:v> Government Services </c:v>
                </c:pt>
                <c:pt idx="9">
                  <c:v> Manufacturing Services </c:v>
                </c:pt>
                <c:pt idx="10">
                  <c:v> Maintenance Services </c:v>
                </c:pt>
                <c:pt idx="11">
                  <c:v> Construction </c:v>
                </c:pt>
              </c:strCache>
            </c:strRef>
          </c:cat>
          <c:val>
            <c:numRef>
              <c:f>'2. Trade in Services'!$B$51:$B$62</c:f>
              <c:numCache>
                <c:formatCode>_-[$£-809]* #,##0.0_-;\-[$£-809]* #,##0.0_-;_-[$£-809]* "-"??_-;_-@_-</c:formatCode>
                <c:ptCount val="12"/>
                <c:pt idx="0">
                  <c:v>66.051000000000002</c:v>
                </c:pt>
                <c:pt idx="1">
                  <c:v>61.383000000000003</c:v>
                </c:pt>
                <c:pt idx="2">
                  <c:v>30.756</c:v>
                </c:pt>
                <c:pt idx="3">
                  <c:v>25.95</c:v>
                </c:pt>
                <c:pt idx="4">
                  <c:v>19.036000000000001</c:v>
                </c:pt>
                <c:pt idx="5">
                  <c:v>17.63</c:v>
                </c:pt>
                <c:pt idx="6">
                  <c:v>12.648999999999999</c:v>
                </c:pt>
                <c:pt idx="7">
                  <c:v>3.6309999999999998</c:v>
                </c:pt>
                <c:pt idx="8">
                  <c:v>2.5680000000000001</c:v>
                </c:pt>
                <c:pt idx="9">
                  <c:v>2.0939999999999999</c:v>
                </c:pt>
                <c:pt idx="10">
                  <c:v>1.871</c:v>
                </c:pt>
                <c:pt idx="11">
                  <c:v>1.7869999999999999</c:v>
                </c:pt>
              </c:numCache>
            </c:numRef>
          </c:val>
          <c:extLst>
            <c:ext xmlns:c16="http://schemas.microsoft.com/office/drawing/2014/chart" uri="{C3380CC4-5D6E-409C-BE32-E72D297353CC}">
              <c16:uniqueId val="{00000016-C1ED-4BB2-BC60-E7C517A0DE93}"/>
            </c:ext>
          </c:extLst>
        </c:ser>
        <c:dLbls>
          <c:showLegendKey val="0"/>
          <c:showVal val="0"/>
          <c:showCatName val="0"/>
          <c:showSerName val="0"/>
          <c:showPercent val="1"/>
          <c:showBubbleSize val="0"/>
          <c:showLeaderLines val="0"/>
        </c:dLbls>
        <c:firstSliceAng val="0"/>
        <c:holeSize val="50"/>
      </c:doughnutChart>
      <c:spPr>
        <a:noFill/>
        <a:ln>
          <a:noFill/>
        </a:ln>
        <a:effectLst/>
      </c:spPr>
    </c:plotArea>
    <c:legend>
      <c:legendPos val="r"/>
      <c:layout>
        <c:manualLayout>
          <c:xMode val="edge"/>
          <c:yMode val="edge"/>
          <c:x val="0.52026541364751855"/>
          <c:y val="0.21867326388807568"/>
          <c:w val="0.47024620270483813"/>
          <c:h val="0.71775689489723404"/>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a:t>EU Balance of Trade on UK service sector exports</a:t>
            </a:r>
          </a:p>
        </c:rich>
      </c:tx>
      <c:layout>
        <c:manualLayout>
          <c:xMode val="edge"/>
          <c:yMode val="edge"/>
          <c:x val="0.24518033740546827"/>
          <c:y val="5.275569960823516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1195996602012118E-2"/>
          <c:y val="0.18164960838100583"/>
          <c:w val="0.83440436232402071"/>
          <c:h val="0.58238132465941173"/>
        </c:manualLayout>
      </c:layout>
      <c:barChart>
        <c:barDir val="col"/>
        <c:grouping val="clustered"/>
        <c:varyColors val="0"/>
        <c:ser>
          <c:idx val="0"/>
          <c:order val="0"/>
          <c:tx>
            <c:strRef>
              <c:f>'2. Trade in Services'!$A$69</c:f>
              <c:strCache>
                <c:ptCount val="1"/>
                <c:pt idx="0">
                  <c:v> Other business services </c:v>
                </c:pt>
              </c:strCache>
            </c:strRef>
          </c:tx>
          <c:spPr>
            <a:solidFill>
              <a:srgbClr val="7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Services'!$D$69</c:f>
              <c:numCache>
                <c:formatCode>_-[$£-809]* #,##0.0_-;\-[$£-809]* #,##0.0_-;_-[$£-809]* "-"??_-;_-@_-</c:formatCode>
                <c:ptCount val="1"/>
                <c:pt idx="0">
                  <c:v>4.9759999999999991</c:v>
                </c:pt>
              </c:numCache>
            </c:numRef>
          </c:val>
          <c:extLst>
            <c:ext xmlns:c16="http://schemas.microsoft.com/office/drawing/2014/chart" uri="{C3380CC4-5D6E-409C-BE32-E72D297353CC}">
              <c16:uniqueId val="{00000012-E42A-498B-A8AA-FDC7E3F2DE1A}"/>
            </c:ext>
          </c:extLst>
        </c:ser>
        <c:ser>
          <c:idx val="1"/>
          <c:order val="1"/>
          <c:tx>
            <c:strRef>
              <c:f>'2. Trade in Services'!$A$70</c:f>
              <c:strCache>
                <c:ptCount val="1"/>
                <c:pt idx="0">
                  <c:v> Financial services </c:v>
                </c:pt>
              </c:strCache>
            </c:strRef>
          </c:tx>
          <c:spPr>
            <a:solidFill>
              <a:srgbClr val="C00000"/>
            </a:solidFill>
            <a:ln>
              <a:solidFill>
                <a:srgbClr val="99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Services'!$D$70</c:f>
              <c:numCache>
                <c:formatCode>_-[$£-809]* #,##0.0_-;\-[$£-809]* #,##0.0_-;_-[$£-809]* "-"??_-;_-@_-</c:formatCode>
                <c:ptCount val="1"/>
                <c:pt idx="0">
                  <c:v>22.902999999999999</c:v>
                </c:pt>
              </c:numCache>
            </c:numRef>
          </c:val>
          <c:extLst>
            <c:ext xmlns:c16="http://schemas.microsoft.com/office/drawing/2014/chart" uri="{C3380CC4-5D6E-409C-BE32-E72D297353CC}">
              <c16:uniqueId val="{00000013-E42A-498B-A8AA-FDC7E3F2DE1A}"/>
            </c:ext>
          </c:extLst>
        </c:ser>
        <c:ser>
          <c:idx val="2"/>
          <c:order val="2"/>
          <c:tx>
            <c:strRef>
              <c:f>'2. Trade in Services'!$A$71</c:f>
              <c:strCache>
                <c:ptCount val="1"/>
                <c:pt idx="0">
                  <c:v> Travel </c:v>
                </c:pt>
              </c:strCache>
            </c:strRef>
          </c:tx>
          <c:spPr>
            <a:solidFill>
              <a:srgbClr val="F1581B"/>
            </a:solidFill>
            <a:ln>
              <a:solidFill>
                <a:srgbClr val="99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Services'!$D$71</c:f>
              <c:numCache>
                <c:formatCode>_-[$£-809]* #,##0.0_-;\-[$£-809]* #,##0.0_-;_-[$£-809]* "-"??_-;_-@_-</c:formatCode>
                <c:ptCount val="1"/>
                <c:pt idx="0">
                  <c:v>-15.614999999999998</c:v>
                </c:pt>
              </c:numCache>
            </c:numRef>
          </c:val>
          <c:extLst>
            <c:ext xmlns:c16="http://schemas.microsoft.com/office/drawing/2014/chart" uri="{C3380CC4-5D6E-409C-BE32-E72D297353CC}">
              <c16:uniqueId val="{00000014-E42A-498B-A8AA-FDC7E3F2DE1A}"/>
            </c:ext>
          </c:extLst>
        </c:ser>
        <c:ser>
          <c:idx val="3"/>
          <c:order val="3"/>
          <c:tx>
            <c:strRef>
              <c:f>'2. Trade in Services'!$A$72</c:f>
              <c:strCache>
                <c:ptCount val="1"/>
                <c:pt idx="0">
                  <c:v> Transportation </c:v>
                </c:pt>
              </c:strCache>
            </c:strRef>
          </c:tx>
          <c:spPr>
            <a:solidFill>
              <a:schemeClr val="accent4"/>
            </a:solidFill>
            <a:ln>
              <a:solidFill>
                <a:srgbClr val="F1581B"/>
              </a:solidFill>
            </a:ln>
            <a:effectLst/>
          </c:spPr>
          <c:invertIfNegative val="0"/>
          <c:dPt>
            <c:idx val="0"/>
            <c:invertIfNegative val="0"/>
            <c:bubble3D val="0"/>
            <c:spPr>
              <a:solidFill>
                <a:srgbClr val="FBB647"/>
              </a:solidFill>
              <a:ln>
                <a:solidFill>
                  <a:srgbClr val="F1581B"/>
                </a:solidFill>
              </a:ln>
              <a:effectLst/>
            </c:spPr>
            <c:extLst>
              <c:ext xmlns:c16="http://schemas.microsoft.com/office/drawing/2014/chart" uri="{C3380CC4-5D6E-409C-BE32-E72D297353CC}">
                <c16:uniqueId val="{00000000-1E46-402B-B219-EC05D4833C1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Services'!$D$72</c:f>
              <c:numCache>
                <c:formatCode>_-[$£-809]* #,##0.0_-;\-[$£-809]* #,##0.0_-;_-[$£-809]* "-"??_-;_-@_-</c:formatCode>
                <c:ptCount val="1"/>
                <c:pt idx="0">
                  <c:v>-5.3039999999999994</c:v>
                </c:pt>
              </c:numCache>
            </c:numRef>
          </c:val>
          <c:extLst>
            <c:ext xmlns:c16="http://schemas.microsoft.com/office/drawing/2014/chart" uri="{C3380CC4-5D6E-409C-BE32-E72D297353CC}">
              <c16:uniqueId val="{00000015-E42A-498B-A8AA-FDC7E3F2DE1A}"/>
            </c:ext>
          </c:extLst>
        </c:ser>
        <c:ser>
          <c:idx val="4"/>
          <c:order val="4"/>
          <c:tx>
            <c:strRef>
              <c:f>'2. Trade in Services'!$A$74</c:f>
              <c:strCache>
                <c:ptCount val="1"/>
                <c:pt idx="0">
                  <c:v> Insurance and pension </c:v>
                </c:pt>
              </c:strCache>
            </c:strRef>
          </c:tx>
          <c:spPr>
            <a:solidFill>
              <a:srgbClr val="FFFF00"/>
            </a:solidFill>
            <a:ln>
              <a:solidFill>
                <a:srgbClr val="FFC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Services'!$D$74</c:f>
              <c:numCache>
                <c:formatCode>_-[$£-809]* #,##0.0_-;\-[$£-809]* #,##0.0_-;_-[$£-809]* "-"??_-;_-@_-</c:formatCode>
                <c:ptCount val="1"/>
                <c:pt idx="0">
                  <c:v>1.6970000000000001</c:v>
                </c:pt>
              </c:numCache>
            </c:numRef>
          </c:val>
          <c:extLst>
            <c:ext xmlns:c16="http://schemas.microsoft.com/office/drawing/2014/chart" uri="{C3380CC4-5D6E-409C-BE32-E72D297353CC}">
              <c16:uniqueId val="{00000016-E42A-498B-A8AA-FDC7E3F2DE1A}"/>
            </c:ext>
          </c:extLst>
        </c:ser>
        <c:ser>
          <c:idx val="5"/>
          <c:order val="5"/>
          <c:tx>
            <c:strRef>
              <c:f>'2. Trade in Services'!$A$75</c:f>
              <c:strCache>
                <c:ptCount val="1"/>
                <c:pt idx="0">
                  <c:v> Intellectual property </c:v>
                </c:pt>
              </c:strCache>
            </c:strRef>
          </c:tx>
          <c:spPr>
            <a:solidFill>
              <a:schemeClr val="accent4">
                <a:lumMod val="40000"/>
                <a:lumOff val="60000"/>
              </a:schemeClr>
            </a:solidFill>
            <a:ln>
              <a:noFill/>
            </a:ln>
            <a:effectLst/>
          </c:spPr>
          <c:invertIfNegative val="0"/>
          <c:dPt>
            <c:idx val="0"/>
            <c:invertIfNegative val="0"/>
            <c:bubble3D val="0"/>
            <c:spPr>
              <a:solidFill>
                <a:schemeClr val="accent4">
                  <a:lumMod val="40000"/>
                  <a:lumOff val="60000"/>
                </a:schemeClr>
              </a:solidFill>
              <a:ln>
                <a:solidFill>
                  <a:srgbClr val="FF832F"/>
                </a:solidFill>
              </a:ln>
              <a:effectLst/>
            </c:spPr>
            <c:extLst>
              <c:ext xmlns:c16="http://schemas.microsoft.com/office/drawing/2014/chart" uri="{C3380CC4-5D6E-409C-BE32-E72D297353CC}">
                <c16:uniqueId val="{00000005-96D2-423A-8EB2-1AB9D9D5318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Services'!$D$75</c:f>
              <c:numCache>
                <c:formatCode>_-[$£-809]* #,##0.0_-;\-[$£-809]* #,##0.0_-;_-[$£-809]* "-"??_-;_-@_-</c:formatCode>
                <c:ptCount val="1"/>
                <c:pt idx="0">
                  <c:v>2.25</c:v>
                </c:pt>
              </c:numCache>
            </c:numRef>
          </c:val>
          <c:extLst>
            <c:ext xmlns:c16="http://schemas.microsoft.com/office/drawing/2014/chart" uri="{C3380CC4-5D6E-409C-BE32-E72D297353CC}">
              <c16:uniqueId val="{00000017-E42A-498B-A8AA-FDC7E3F2DE1A}"/>
            </c:ext>
          </c:extLst>
        </c:ser>
        <c:ser>
          <c:idx val="6"/>
          <c:order val="6"/>
          <c:tx>
            <c:strRef>
              <c:f>'2. Trade in Services'!$A$76</c:f>
              <c:strCache>
                <c:ptCount val="1"/>
                <c:pt idx="0">
                  <c:v> Personal Cultural and Recreational </c:v>
                </c:pt>
              </c:strCache>
            </c:strRef>
          </c:tx>
          <c:spPr>
            <a:solidFill>
              <a:schemeClr val="bg1">
                <a:lumMod val="85000"/>
              </a:schemeClr>
            </a:solidFill>
            <a:ln>
              <a:noFill/>
            </a:ln>
            <a:effectLst/>
          </c:spPr>
          <c:invertIfNegative val="0"/>
          <c:dPt>
            <c:idx val="0"/>
            <c:invertIfNegative val="0"/>
            <c:bubble3D val="0"/>
            <c:spPr>
              <a:solidFill>
                <a:schemeClr val="bg1">
                  <a:lumMod val="85000"/>
                </a:schemeClr>
              </a:solidFill>
              <a:ln>
                <a:solidFill>
                  <a:schemeClr val="bg2">
                    <a:lumMod val="75000"/>
                  </a:schemeClr>
                </a:solidFill>
              </a:ln>
              <a:effectLst/>
            </c:spPr>
            <c:extLst>
              <c:ext xmlns:c16="http://schemas.microsoft.com/office/drawing/2014/chart" uri="{C3380CC4-5D6E-409C-BE32-E72D297353CC}">
                <c16:uniqueId val="{00000009-96D2-423A-8EB2-1AB9D9D5318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Services'!$D$76</c:f>
              <c:numCache>
                <c:formatCode>_-[$£-809]* #,##0.0_-;\-[$£-809]* #,##0.0_-;_-[$£-809]* "-"??_-;_-@_-</c:formatCode>
                <c:ptCount val="1"/>
                <c:pt idx="0">
                  <c:v>0.66600000000000004</c:v>
                </c:pt>
              </c:numCache>
            </c:numRef>
          </c:val>
          <c:extLst>
            <c:ext xmlns:c16="http://schemas.microsoft.com/office/drawing/2014/chart" uri="{C3380CC4-5D6E-409C-BE32-E72D297353CC}">
              <c16:uniqueId val="{00000018-E42A-498B-A8AA-FDC7E3F2DE1A}"/>
            </c:ext>
          </c:extLst>
        </c:ser>
        <c:ser>
          <c:idx val="7"/>
          <c:order val="7"/>
          <c:tx>
            <c:strRef>
              <c:f>'2. Trade in Services'!$A$77</c:f>
              <c:strCache>
                <c:ptCount val="1"/>
                <c:pt idx="0">
                  <c:v> Government Services </c:v>
                </c:pt>
              </c:strCache>
            </c:strRef>
          </c:tx>
          <c:spPr>
            <a:solidFill>
              <a:schemeClr val="bg1">
                <a:lumMod val="65000"/>
              </a:schemeClr>
            </a:solidFill>
            <a:ln>
              <a:solidFill>
                <a:schemeClr val="bg2">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Services'!$D$77</c:f>
              <c:numCache>
                <c:formatCode>_-[$£-809]* #,##0.0_-;\-[$£-809]* #,##0.0_-;_-[$£-809]* "-"??_-;_-@_-</c:formatCode>
                <c:ptCount val="1"/>
                <c:pt idx="0">
                  <c:v>-0.68799999999999994</c:v>
                </c:pt>
              </c:numCache>
            </c:numRef>
          </c:val>
          <c:extLst>
            <c:ext xmlns:c16="http://schemas.microsoft.com/office/drawing/2014/chart" uri="{C3380CC4-5D6E-409C-BE32-E72D297353CC}">
              <c16:uniqueId val="{00000019-E42A-498B-A8AA-FDC7E3F2DE1A}"/>
            </c:ext>
          </c:extLst>
        </c:ser>
        <c:dLbls>
          <c:dLblPos val="outEnd"/>
          <c:showLegendKey val="0"/>
          <c:showVal val="1"/>
          <c:showCatName val="0"/>
          <c:showSerName val="0"/>
          <c:showPercent val="0"/>
          <c:showBubbleSize val="0"/>
        </c:dLbls>
        <c:gapWidth val="219"/>
        <c:overlap val="-27"/>
        <c:axId val="831278512"/>
        <c:axId val="831269984"/>
      </c:barChart>
      <c:catAx>
        <c:axId val="831278512"/>
        <c:scaling>
          <c:orientation val="minMax"/>
        </c:scaling>
        <c:delete val="1"/>
        <c:axPos val="b"/>
        <c:numFmt formatCode="_-[$£-809]* #,##0.0_-;\-[$£-809]* #,##0.0_-;_-[$£-809]* &quot;-&quot;??_-;_-@_-" sourceLinked="1"/>
        <c:majorTickMark val="none"/>
        <c:minorTickMark val="none"/>
        <c:tickLblPos val="nextTo"/>
        <c:crossAx val="831269984"/>
        <c:crosses val="autoZero"/>
        <c:auto val="1"/>
        <c:lblAlgn val="ctr"/>
        <c:lblOffset val="100"/>
        <c:noMultiLvlLbl val="0"/>
      </c:catAx>
      <c:valAx>
        <c:axId val="831269984"/>
        <c:scaling>
          <c:orientation val="minMax"/>
          <c:max val="25"/>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latin typeface="Calibri" panose="020F0502020204030204" pitchFamily="34" charset="0"/>
                    <a:cs typeface="Calibri" panose="020F0502020204030204" pitchFamily="34" charset="0"/>
                  </a:rPr>
                  <a:t>£ Billion</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809]* #,##0_-;\-[$£-809]* #,##0_-;_-[$£-809]*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1278512"/>
        <c:crosses val="autoZero"/>
        <c:crossBetween val="between"/>
      </c:valAx>
      <c:spPr>
        <a:noFill/>
        <a:ln>
          <a:noFill/>
        </a:ln>
        <a:effectLst/>
      </c:spPr>
    </c:plotArea>
    <c:legend>
      <c:legendPos val="b"/>
      <c:layout>
        <c:manualLayout>
          <c:xMode val="edge"/>
          <c:yMode val="edge"/>
          <c:x val="6.3286971830985916E-2"/>
          <c:y val="0.7806368921007103"/>
          <c:w val="0.91379563921993512"/>
          <c:h val="0.18774018880182669"/>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a:t>Non-EU Balance of Trade on UK service sector exports</a:t>
            </a:r>
          </a:p>
        </c:rich>
      </c:tx>
      <c:layout>
        <c:manualLayout>
          <c:xMode val="edge"/>
          <c:yMode val="edge"/>
          <c:x val="0.24518033740546827"/>
          <c:y val="5.275569960823516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655606717226439E-2"/>
          <c:y val="0.21555371198652915"/>
          <c:w val="0.85843959505061862"/>
          <c:h val="0.56673184193185766"/>
        </c:manualLayout>
      </c:layout>
      <c:barChart>
        <c:barDir val="col"/>
        <c:grouping val="clustered"/>
        <c:varyColors val="0"/>
        <c:ser>
          <c:idx val="0"/>
          <c:order val="0"/>
          <c:tx>
            <c:strRef>
              <c:f>'2. Trade in Services'!$A$84</c:f>
              <c:strCache>
                <c:ptCount val="1"/>
                <c:pt idx="0">
                  <c:v> Other business services </c:v>
                </c:pt>
              </c:strCache>
            </c:strRef>
          </c:tx>
          <c:spPr>
            <a:solidFill>
              <a:schemeClr val="accent1">
                <a:lumMod val="50000"/>
              </a:schemeClr>
            </a:solidFill>
            <a:ln>
              <a:noFill/>
            </a:ln>
            <a:effectLst/>
          </c:spPr>
          <c:invertIfNegative val="0"/>
          <c:dPt>
            <c:idx val="0"/>
            <c:invertIfNegative val="0"/>
            <c:bubble3D val="0"/>
            <c:spPr>
              <a:solidFill>
                <a:schemeClr val="accent1">
                  <a:lumMod val="50000"/>
                </a:schemeClr>
              </a:solidFill>
              <a:ln>
                <a:solidFill>
                  <a:srgbClr val="450701"/>
                </a:solidFill>
              </a:ln>
              <a:effectLst/>
            </c:spPr>
            <c:extLst>
              <c:ext xmlns:c16="http://schemas.microsoft.com/office/drawing/2014/chart" uri="{C3380CC4-5D6E-409C-BE32-E72D297353CC}">
                <c16:uniqueId val="{00000004-B8D3-4452-9265-27FD251304E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 Trade in Services'!$B$84:$D$84</c15:sqref>
                  </c15:fullRef>
                </c:ext>
              </c:extLst>
              <c:f>'2. Trade in Services'!$D$84</c:f>
              <c:numCache>
                <c:formatCode>_-[$£-809]* #,##0.0_-;\-[$£-809]* #,##0.0_-;_-[$£-809]* "-"??_-;_-@_-</c:formatCode>
                <c:ptCount val="1"/>
                <c:pt idx="0">
                  <c:v>17.764999999999997</c:v>
                </c:pt>
              </c:numCache>
            </c:numRef>
          </c:val>
          <c:extLst>
            <c:ext xmlns:c16="http://schemas.microsoft.com/office/drawing/2014/chart" uri="{C3380CC4-5D6E-409C-BE32-E72D297353CC}">
              <c16:uniqueId val="{00000000-4664-4414-9519-0C675CBC9374}"/>
            </c:ext>
          </c:extLst>
        </c:ser>
        <c:ser>
          <c:idx val="1"/>
          <c:order val="1"/>
          <c:tx>
            <c:strRef>
              <c:f>'2. Trade in Services'!$A$85</c:f>
              <c:strCache>
                <c:ptCount val="1"/>
                <c:pt idx="0">
                  <c:v> Financial services </c:v>
                </c:pt>
              </c:strCache>
            </c:strRef>
          </c:tx>
          <c:spPr>
            <a:solidFill>
              <a:schemeClr val="accent1">
                <a:lumMod val="75000"/>
              </a:schemeClr>
            </a:solidFill>
            <a:ln>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 Trade in Services'!$B$85:$D$85</c15:sqref>
                  </c15:fullRef>
                </c:ext>
              </c:extLst>
              <c:f>'2. Trade in Services'!$D$85</c:f>
              <c:numCache>
                <c:formatCode>_-[$£-809]* #,##0.0_-;\-[$£-809]* #,##0.0_-;_-[$£-809]* "-"??_-;_-@_-</c:formatCode>
                <c:ptCount val="1"/>
                <c:pt idx="0">
                  <c:v>27.882000000000001</c:v>
                </c:pt>
              </c:numCache>
            </c:numRef>
          </c:val>
          <c:extLst>
            <c:ext xmlns:c16="http://schemas.microsoft.com/office/drawing/2014/chart" uri="{C3380CC4-5D6E-409C-BE32-E72D297353CC}">
              <c16:uniqueId val="{00000001-4664-4414-9519-0C675CBC9374}"/>
            </c:ext>
          </c:extLst>
        </c:ser>
        <c:ser>
          <c:idx val="2"/>
          <c:order val="2"/>
          <c:tx>
            <c:strRef>
              <c:f>'2. Trade in Services'!$A$86</c:f>
              <c:strCache>
                <c:ptCount val="1"/>
                <c:pt idx="0">
                  <c:v> Travel </c:v>
                </c:pt>
              </c:strCache>
            </c:strRef>
          </c:tx>
          <c:spPr>
            <a:solidFill>
              <a:srgbClr val="0070C0"/>
            </a:solidFill>
            <a:ln>
              <a:solidFill>
                <a:schemeClr val="accent5">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 Trade in Services'!$B$86:$D$86</c15:sqref>
                  </c15:fullRef>
                </c:ext>
              </c:extLst>
              <c:f>'2. Trade in Services'!$D$86</c:f>
              <c:numCache>
                <c:formatCode>_-[$£-809]* #,##0.0_-;\-[$£-809]* #,##0.0_-;_-[$£-809]* "-"??_-;_-@_-</c:formatCode>
                <c:ptCount val="1"/>
                <c:pt idx="0">
                  <c:v>-1.6179999999999986</c:v>
                </c:pt>
              </c:numCache>
            </c:numRef>
          </c:val>
          <c:extLst>
            <c:ext xmlns:c16="http://schemas.microsoft.com/office/drawing/2014/chart" uri="{C3380CC4-5D6E-409C-BE32-E72D297353CC}">
              <c16:uniqueId val="{00000002-4664-4414-9519-0C675CBC9374}"/>
            </c:ext>
          </c:extLst>
        </c:ser>
        <c:ser>
          <c:idx val="3"/>
          <c:order val="3"/>
          <c:tx>
            <c:strRef>
              <c:f>'2. Trade in Services'!$A$87</c:f>
              <c:strCache>
                <c:ptCount val="1"/>
                <c:pt idx="0">
                  <c:v> Transportation </c:v>
                </c:pt>
              </c:strCache>
            </c:strRef>
          </c:tx>
          <c:spPr>
            <a:solidFill>
              <a:schemeClr val="accent1">
                <a:lumMod val="60000"/>
                <a:lumOff val="40000"/>
              </a:schemeClr>
            </a:solidFill>
            <a:ln>
              <a:solidFill>
                <a:schemeClr val="accent1">
                  <a:lumMod val="60000"/>
                  <a:lumOff val="40000"/>
                </a:schemeClr>
              </a:solidFill>
            </a:ln>
            <a:effectLst/>
          </c:spPr>
          <c:invertIfNegative val="0"/>
          <c:dPt>
            <c:idx val="0"/>
            <c:invertIfNegative val="0"/>
            <c:bubble3D val="0"/>
            <c:spPr>
              <a:solidFill>
                <a:schemeClr val="accent1">
                  <a:lumMod val="60000"/>
                  <a:lumOff val="40000"/>
                </a:schemeClr>
              </a:solidFill>
              <a:ln>
                <a:solidFill>
                  <a:schemeClr val="accent1">
                    <a:lumMod val="75000"/>
                  </a:schemeClr>
                </a:solidFill>
              </a:ln>
              <a:effectLst/>
            </c:spPr>
            <c:extLst>
              <c:ext xmlns:c16="http://schemas.microsoft.com/office/drawing/2014/chart" uri="{C3380CC4-5D6E-409C-BE32-E72D297353CC}">
                <c16:uniqueId val="{00000008-B8D3-4452-9265-27FD251304E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 Trade in Services'!$B$87:$D$87</c15:sqref>
                  </c15:fullRef>
                </c:ext>
              </c:extLst>
              <c:f>'2. Trade in Services'!$D$87</c:f>
              <c:numCache>
                <c:formatCode>_-[$£-809]* #,##0.0_-;\-[$£-809]* #,##0.0_-;_-[$£-809]* "-"??_-;_-@_-</c:formatCode>
                <c:ptCount val="1"/>
                <c:pt idx="0">
                  <c:v>9.177999999999999</c:v>
                </c:pt>
              </c:numCache>
            </c:numRef>
          </c:val>
          <c:extLst>
            <c:ext xmlns:c16="http://schemas.microsoft.com/office/drawing/2014/chart" uri="{C3380CC4-5D6E-409C-BE32-E72D297353CC}">
              <c16:uniqueId val="{00000003-4664-4414-9519-0C675CBC9374}"/>
            </c:ext>
          </c:extLst>
        </c:ser>
        <c:ser>
          <c:idx val="4"/>
          <c:order val="4"/>
          <c:tx>
            <c:strRef>
              <c:f>'2. Trade in Services'!$A$88</c:f>
              <c:strCache>
                <c:ptCount val="1"/>
                <c:pt idx="0">
                  <c:v> Telecomunications, computers and IT </c:v>
                </c:pt>
              </c:strCache>
            </c:strRef>
          </c:tx>
          <c:spPr>
            <a:solidFill>
              <a:schemeClr val="accent5"/>
            </a:solidFill>
            <a:ln>
              <a:solidFill>
                <a:schemeClr val="accent1">
                  <a:lumMod val="60000"/>
                  <a:lumOff val="40000"/>
                </a:schemeClr>
              </a:solidFill>
            </a:ln>
            <a:effectLst/>
          </c:spPr>
          <c:invertIfNegative val="0"/>
          <c:dPt>
            <c:idx val="0"/>
            <c:invertIfNegative val="0"/>
            <c:bubble3D val="0"/>
            <c:spPr>
              <a:solidFill>
                <a:schemeClr val="accent5">
                  <a:lumMod val="40000"/>
                  <a:lumOff val="60000"/>
                </a:schemeClr>
              </a:solidFill>
              <a:ln>
                <a:solidFill>
                  <a:schemeClr val="accent1">
                    <a:lumMod val="60000"/>
                    <a:lumOff val="40000"/>
                  </a:schemeClr>
                </a:solidFill>
              </a:ln>
              <a:effectLst/>
            </c:spPr>
            <c:extLst>
              <c:ext xmlns:c16="http://schemas.microsoft.com/office/drawing/2014/chart" uri="{C3380CC4-5D6E-409C-BE32-E72D297353CC}">
                <c16:uniqueId val="{0000000A-5678-41F6-9B1E-7D8847CC8B4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 Trade in Services'!$B$88:$D$88</c15:sqref>
                  </c15:fullRef>
                </c:ext>
              </c:extLst>
              <c:f>'2. Trade in Services'!$D$88</c:f>
              <c:numCache>
                <c:formatCode>_-[$£-809]* #,##0.0_-;\-[$£-809]* #,##0.0_-;_-[$£-809]* "-"??_-;_-@_-</c:formatCode>
                <c:ptCount val="1"/>
                <c:pt idx="0">
                  <c:v>5.8920000000000021</c:v>
                </c:pt>
              </c:numCache>
            </c:numRef>
          </c:val>
          <c:extLst>
            <c:ext xmlns:c16="http://schemas.microsoft.com/office/drawing/2014/chart" uri="{C3380CC4-5D6E-409C-BE32-E72D297353CC}">
              <c16:uniqueId val="{00000004-4664-4414-9519-0C675CBC9374}"/>
            </c:ext>
          </c:extLst>
        </c:ser>
        <c:ser>
          <c:idx val="5"/>
          <c:order val="5"/>
          <c:tx>
            <c:strRef>
              <c:f>'2. Trade in Services'!$A$89</c:f>
              <c:strCache>
                <c:ptCount val="1"/>
                <c:pt idx="0">
                  <c:v> Insurance and pension </c:v>
                </c:pt>
              </c:strCache>
            </c:strRef>
          </c:tx>
          <c:spPr>
            <a:solidFill>
              <a:schemeClr val="bg1">
                <a:lumMod val="95000"/>
              </a:schemeClr>
            </a:solidFill>
            <a:ln>
              <a:solidFill>
                <a:schemeClr val="accent1">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 Trade in Services'!$B$89:$D$89</c15:sqref>
                  </c15:fullRef>
                </c:ext>
              </c:extLst>
              <c:f>'2. Trade in Services'!$D$89</c:f>
              <c:numCache>
                <c:formatCode>_-[$£-809]* #,##0.0_-;\-[$£-809]* #,##0.0_-;_-[$£-809]* "-"??_-;_-@_-</c:formatCode>
                <c:ptCount val="1"/>
                <c:pt idx="0">
                  <c:v>15.733999999999998</c:v>
                </c:pt>
              </c:numCache>
            </c:numRef>
          </c:val>
          <c:extLst>
            <c:ext xmlns:c16="http://schemas.microsoft.com/office/drawing/2014/chart" uri="{C3380CC4-5D6E-409C-BE32-E72D297353CC}">
              <c16:uniqueId val="{00000005-4664-4414-9519-0C675CBC9374}"/>
            </c:ext>
          </c:extLst>
        </c:ser>
        <c:ser>
          <c:idx val="6"/>
          <c:order val="6"/>
          <c:tx>
            <c:strRef>
              <c:f>'2. Trade in Services'!$A$90</c:f>
              <c:strCache>
                <c:ptCount val="1"/>
                <c:pt idx="0">
                  <c:v> Intellectual property </c:v>
                </c:pt>
              </c:strCache>
            </c:strRef>
          </c:tx>
          <c:spPr>
            <a:solidFill>
              <a:schemeClr val="bg1">
                <a:lumMod val="65000"/>
              </a:schemeClr>
            </a:solidFill>
            <a:ln>
              <a:solidFill>
                <a:schemeClr val="tx1">
                  <a:lumMod val="65000"/>
                  <a:lumOff val="3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 Trade in Services'!$B$90:$D$90</c15:sqref>
                  </c15:fullRef>
                </c:ext>
              </c:extLst>
              <c:f>'2. Trade in Services'!$D$90</c:f>
              <c:numCache>
                <c:formatCode>_-[$£-809]* #,##0.0_-;\-[$£-809]* #,##0.0_-;_-[$£-809]* "-"??_-;_-@_-</c:formatCode>
                <c:ptCount val="1"/>
                <c:pt idx="0">
                  <c:v>1.8519999999999985</c:v>
                </c:pt>
              </c:numCache>
            </c:numRef>
          </c:val>
          <c:extLst>
            <c:ext xmlns:c16="http://schemas.microsoft.com/office/drawing/2014/chart" uri="{C3380CC4-5D6E-409C-BE32-E72D297353CC}">
              <c16:uniqueId val="{00000006-4664-4414-9519-0C675CBC9374}"/>
            </c:ext>
          </c:extLst>
        </c:ser>
        <c:ser>
          <c:idx val="7"/>
          <c:order val="7"/>
          <c:tx>
            <c:strRef>
              <c:f>'2. Trade in Services'!$A$91</c:f>
              <c:strCache>
                <c:ptCount val="1"/>
                <c:pt idx="0">
                  <c:v> Personal Cultural and Recreational </c:v>
                </c:pt>
              </c:strCache>
            </c:strRef>
          </c:tx>
          <c:spPr>
            <a:solidFill>
              <a:schemeClr val="tx1">
                <a:lumMod val="65000"/>
                <a:lumOff val="3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 Trade in Services'!$B$91:$D$91</c15:sqref>
                  </c15:fullRef>
                </c:ext>
              </c:extLst>
              <c:f>'2. Trade in Services'!$D$91</c:f>
              <c:numCache>
                <c:formatCode>_-[$£-809]* #,##0.0_-;\-[$£-809]* #,##0.0_-;_-[$£-809]* "-"??_-;_-@_-</c:formatCode>
                <c:ptCount val="1"/>
                <c:pt idx="0">
                  <c:v>-0.57400000000000029</c:v>
                </c:pt>
              </c:numCache>
            </c:numRef>
          </c:val>
          <c:extLst>
            <c:ext xmlns:c16="http://schemas.microsoft.com/office/drawing/2014/chart" uri="{C3380CC4-5D6E-409C-BE32-E72D297353CC}">
              <c16:uniqueId val="{00000007-4664-4414-9519-0C675CBC9374}"/>
            </c:ext>
          </c:extLst>
        </c:ser>
        <c:dLbls>
          <c:dLblPos val="outEnd"/>
          <c:showLegendKey val="0"/>
          <c:showVal val="1"/>
          <c:showCatName val="0"/>
          <c:showSerName val="0"/>
          <c:showPercent val="0"/>
          <c:showBubbleSize val="0"/>
        </c:dLbls>
        <c:gapWidth val="219"/>
        <c:overlap val="-27"/>
        <c:axId val="831278512"/>
        <c:axId val="831269984"/>
        <c:extLst>
          <c:ext xmlns:c15="http://schemas.microsoft.com/office/drawing/2012/chart" uri="{02D57815-91ED-43cb-92C2-25804820EDAC}">
            <c15:filteredBarSeries>
              <c15:ser>
                <c:idx val="8"/>
                <c:order val="8"/>
                <c:tx>
                  <c:strRef>
                    <c:extLst>
                      <c:ext uri="{02D57815-91ED-43cb-92C2-25804820EDAC}">
                        <c15:formulaRef>
                          <c15:sqref>'2. Trade in Services'!$A$92</c15:sqref>
                        </c15:formulaRef>
                      </c:ext>
                    </c:extLst>
                    <c:strCache>
                      <c:ptCount val="1"/>
                      <c:pt idx="0">
                        <c:v> Government Services </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ullRef>
                          <c15:sqref>'2. Trade in Services'!$B$92:$D$92</c15:sqref>
                        </c15:fullRef>
                        <c15:formulaRef>
                          <c15:sqref>'2. Trade in Services'!$D$92</c15:sqref>
                        </c15:formulaRef>
                      </c:ext>
                    </c:extLst>
                    <c:numCache>
                      <c:formatCode>_-[$£-809]* #,##0.0_-;\-[$£-809]* #,##0.0_-;_-[$£-809]* "-"??_-;_-@_-</c:formatCode>
                      <c:ptCount val="1"/>
                      <c:pt idx="0">
                        <c:v>8.900000000000019E-2</c:v>
                      </c:pt>
                    </c:numCache>
                  </c:numRef>
                </c:val>
                <c:extLst>
                  <c:ext xmlns:c16="http://schemas.microsoft.com/office/drawing/2014/chart" uri="{C3380CC4-5D6E-409C-BE32-E72D297353CC}">
                    <c16:uniqueId val="{00000000-E570-4B45-9CFD-4F7BB3116D09}"/>
                  </c:ext>
                </c:extLst>
              </c15:ser>
            </c15:filteredBarSeries>
          </c:ext>
        </c:extLst>
      </c:barChart>
      <c:catAx>
        <c:axId val="831278512"/>
        <c:scaling>
          <c:orientation val="minMax"/>
        </c:scaling>
        <c:delete val="1"/>
        <c:axPos val="b"/>
        <c:numFmt formatCode="_-[$£-809]* #,##0.0_-;\-[$£-809]* #,##0.0_-;_-[$£-809]* &quot;-&quot;??_-;_-@_-" sourceLinked="1"/>
        <c:majorTickMark val="none"/>
        <c:minorTickMark val="none"/>
        <c:tickLblPos val="nextTo"/>
        <c:crossAx val="831269984"/>
        <c:crosses val="autoZero"/>
        <c:auto val="1"/>
        <c:lblAlgn val="ctr"/>
        <c:lblOffset val="100"/>
        <c:noMultiLvlLbl val="0"/>
      </c:catAx>
      <c:valAx>
        <c:axId val="831269984"/>
        <c:scaling>
          <c:orientation val="minMax"/>
          <c:max val="30"/>
          <c:min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latin typeface="Calibri" panose="020F0502020204030204" pitchFamily="34" charset="0"/>
                    <a:cs typeface="Calibri" panose="020F0502020204030204" pitchFamily="34" charset="0"/>
                  </a:rPr>
                  <a:t>£ Billion</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809]* #,##0_-;\-[$£-809]* #,##0_-;_-[$£-809]*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1278512"/>
        <c:crosses val="autoZero"/>
        <c:crossBetween val="between"/>
      </c:valAx>
      <c:spPr>
        <a:noFill/>
        <a:ln>
          <a:noFill/>
        </a:ln>
        <a:effectLst/>
      </c:spPr>
    </c:plotArea>
    <c:legend>
      <c:legendPos val="b"/>
      <c:layout>
        <c:manualLayout>
          <c:xMode val="edge"/>
          <c:yMode val="edge"/>
          <c:x val="1.5460005817335662E-2"/>
          <c:y val="0.82249137528109562"/>
          <c:w val="0.97225538103548559"/>
          <c:h val="0.1545788111161174"/>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r>
              <a:rPr lang="en-AU" b="1">
                <a:solidFill>
                  <a:schemeClr val="tx1">
                    <a:lumMod val="75000"/>
                    <a:lumOff val="25000"/>
                  </a:schemeClr>
                </a:solidFill>
              </a:rPr>
              <a:t>UK Export of Services to EU &amp;</a:t>
            </a:r>
            <a:r>
              <a:rPr lang="en-AU" b="1" baseline="0">
                <a:solidFill>
                  <a:schemeClr val="tx1">
                    <a:lumMod val="75000"/>
                    <a:lumOff val="25000"/>
                  </a:schemeClr>
                </a:solidFill>
              </a:rPr>
              <a:t> non-EU countries (billions)</a:t>
            </a:r>
            <a:r>
              <a:rPr lang="en-AU" b="1">
                <a:solidFill>
                  <a:schemeClr val="tx1">
                    <a:lumMod val="75000"/>
                    <a:lumOff val="25000"/>
                  </a:schemeClr>
                </a:solidFill>
              </a:rPr>
              <a:t>:</a:t>
            </a:r>
            <a:r>
              <a:rPr lang="en-AU" b="1" baseline="0">
                <a:solidFill>
                  <a:schemeClr val="tx1">
                    <a:lumMod val="75000"/>
                    <a:lumOff val="25000"/>
                  </a:schemeClr>
                </a:solidFill>
              </a:rPr>
              <a:t> 2016</a:t>
            </a:r>
            <a:endParaRPr lang="en-AU" b="1">
              <a:solidFill>
                <a:schemeClr val="tx1">
                  <a:lumMod val="75000"/>
                  <a:lumOff val="25000"/>
                </a:schemeClr>
              </a:solidFill>
            </a:endParaRPr>
          </a:p>
        </c:rich>
      </c:tx>
      <c:layout>
        <c:manualLayout>
          <c:xMode val="edge"/>
          <c:yMode val="edge"/>
          <c:x val="0.31701932552461232"/>
          <c:y val="5.452612366820196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9.240443036384538E-2"/>
          <c:y val="0.15316605696950772"/>
          <c:w val="0.85947964673707122"/>
          <c:h val="0.47946665804351463"/>
        </c:manualLayout>
      </c:layout>
      <c:barChart>
        <c:barDir val="bar"/>
        <c:grouping val="stacked"/>
        <c:varyColors val="0"/>
        <c:ser>
          <c:idx val="0"/>
          <c:order val="0"/>
          <c:tx>
            <c:strRef>
              <c:f>'2. Trade in Services'!$A$14</c:f>
              <c:strCache>
                <c:ptCount val="1"/>
                <c:pt idx="0">
                  <c:v>Other business services</c:v>
                </c:pt>
              </c:strCache>
            </c:strRef>
          </c:tx>
          <c:spPr>
            <a:solidFill>
              <a:schemeClr val="accent1">
                <a:lumMod val="50000"/>
              </a:schemeClr>
            </a:solidFill>
            <a:ln w="12700">
              <a:solidFill>
                <a:srgbClr val="001C5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Services'!$B$14:$C$14</c:f>
              <c:numCache>
                <c:formatCode>_-[$£-809]* #,##0.0_-;\-[$£-809]* #,##0.0_-;_-[$£-809]* "-"??_-;_-@_-</c:formatCode>
                <c:ptCount val="2"/>
                <c:pt idx="0">
                  <c:v>23.7</c:v>
                </c:pt>
                <c:pt idx="1">
                  <c:v>42.349999999999994</c:v>
                </c:pt>
              </c:numCache>
            </c:numRef>
          </c:val>
          <c:extLst>
            <c:ext xmlns:c16="http://schemas.microsoft.com/office/drawing/2014/chart" uri="{C3380CC4-5D6E-409C-BE32-E72D297353CC}">
              <c16:uniqueId val="{00000000-F89C-4AFB-8C39-9533A5AC8A4F}"/>
            </c:ext>
          </c:extLst>
        </c:ser>
        <c:ser>
          <c:idx val="1"/>
          <c:order val="1"/>
          <c:tx>
            <c:strRef>
              <c:f>'2. Trade in Services'!$A$15</c:f>
              <c:strCache>
                <c:ptCount val="1"/>
                <c:pt idx="0">
                  <c:v>Financial services</c:v>
                </c:pt>
              </c:strCache>
            </c:strRef>
          </c:tx>
          <c:spPr>
            <a:solidFill>
              <a:srgbClr val="C00000"/>
            </a:solidFill>
            <a:ln w="12700">
              <a:solidFill>
                <a:srgbClr val="6633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Services'!$B$15:$C$15</c:f>
              <c:numCache>
                <c:formatCode>_-[$£-809]* #,##0.0_-;\-[$£-809]* #,##0.0_-;_-[$£-809]* "-"??_-;_-@_-</c:formatCode>
                <c:ptCount val="2"/>
                <c:pt idx="0">
                  <c:v>27.021000000000001</c:v>
                </c:pt>
                <c:pt idx="1">
                  <c:v>34.362000000000002</c:v>
                </c:pt>
              </c:numCache>
            </c:numRef>
          </c:val>
          <c:extLst>
            <c:ext xmlns:c16="http://schemas.microsoft.com/office/drawing/2014/chart" uri="{C3380CC4-5D6E-409C-BE32-E72D297353CC}">
              <c16:uniqueId val="{00000001-F89C-4AFB-8C39-9533A5AC8A4F}"/>
            </c:ext>
          </c:extLst>
        </c:ser>
        <c:ser>
          <c:idx val="2"/>
          <c:order val="2"/>
          <c:tx>
            <c:strRef>
              <c:f>'2. Trade in Services'!$A$16</c:f>
              <c:strCache>
                <c:ptCount val="1"/>
                <c:pt idx="0">
                  <c:v>Travel</c:v>
                </c:pt>
              </c:strCache>
            </c:strRef>
          </c:tx>
          <c:spPr>
            <a:solidFill>
              <a:schemeClr val="accent1">
                <a:lumMod val="75000"/>
              </a:schemeClr>
            </a:solidFill>
            <a:ln w="12700">
              <a:solidFill>
                <a:schemeClr val="tx1">
                  <a:lumMod val="75000"/>
                  <a:lumOff val="2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Services'!$B$16:$C$16</c:f>
              <c:numCache>
                <c:formatCode>_-[$£-809]* #,##0.0_-;\-[$£-809]* #,##0.0_-;_-[$£-809]* "-"??_-;_-@_-</c:formatCode>
                <c:ptCount val="2"/>
                <c:pt idx="0">
                  <c:v>14.762</c:v>
                </c:pt>
                <c:pt idx="1">
                  <c:v>15.994</c:v>
                </c:pt>
              </c:numCache>
            </c:numRef>
          </c:val>
          <c:extLst>
            <c:ext xmlns:c16="http://schemas.microsoft.com/office/drawing/2014/chart" uri="{C3380CC4-5D6E-409C-BE32-E72D297353CC}">
              <c16:uniqueId val="{00000002-F89C-4AFB-8C39-9533A5AC8A4F}"/>
            </c:ext>
          </c:extLst>
        </c:ser>
        <c:ser>
          <c:idx val="3"/>
          <c:order val="3"/>
          <c:tx>
            <c:strRef>
              <c:f>'2. Trade in Services'!$A$17</c:f>
              <c:strCache>
                <c:ptCount val="1"/>
                <c:pt idx="0">
                  <c:v>Transportation</c:v>
                </c:pt>
              </c:strCache>
            </c:strRef>
          </c:tx>
          <c:spPr>
            <a:solidFill>
              <a:srgbClr val="F24848"/>
            </a:solidFill>
            <a:ln w="12700">
              <a:solidFill>
                <a:srgbClr val="990000"/>
              </a:solidFill>
            </a:ln>
            <a:effectLst/>
          </c:spPr>
          <c:invertIfNegative val="0"/>
          <c:dLbls>
            <c:dLbl>
              <c:idx val="0"/>
              <c:layout>
                <c:manualLayout>
                  <c:x val="-1.7288807348641597E-3"/>
                  <c:y val="-6.576833994758705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89C-4AFB-8C39-9533A5AC8A4F}"/>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Services'!$B$17:$C$17</c:f>
              <c:numCache>
                <c:formatCode>_-[$£-809]* #,##0.00_-;\-[$£-809]* #,##0.00_-;_-[$£-809]* "-"??_-;_-@_-</c:formatCode>
                <c:ptCount val="2"/>
                <c:pt idx="0" formatCode="_-[$£-809]* #,##0.0_-;\-[$£-809]* #,##0.0_-;_-[$£-809]* &quot;-&quot;??_-;_-@_-">
                  <c:v>5.5720000000000001</c:v>
                </c:pt>
                <c:pt idx="1">
                  <c:v>20.378</c:v>
                </c:pt>
              </c:numCache>
            </c:numRef>
          </c:val>
          <c:extLst>
            <c:ext xmlns:c16="http://schemas.microsoft.com/office/drawing/2014/chart" uri="{C3380CC4-5D6E-409C-BE32-E72D297353CC}">
              <c16:uniqueId val="{00000003-F89C-4AFB-8C39-9533A5AC8A4F}"/>
            </c:ext>
          </c:extLst>
        </c:ser>
        <c:ser>
          <c:idx val="4"/>
          <c:order val="4"/>
          <c:tx>
            <c:strRef>
              <c:f>'2. Trade in Services'!$A$18</c:f>
              <c:strCache>
                <c:ptCount val="1"/>
                <c:pt idx="0">
                  <c:v>Telecomunications, computers and IT</c:v>
                </c:pt>
              </c:strCache>
            </c:strRef>
          </c:tx>
          <c:spPr>
            <a:solidFill>
              <a:schemeClr val="accent1">
                <a:lumMod val="60000"/>
                <a:lumOff val="40000"/>
              </a:schemeClr>
            </a:solidFill>
            <a:ln w="12700">
              <a:solidFill>
                <a:schemeClr val="accent5">
                  <a:lumMod val="75000"/>
                </a:schemeClr>
              </a:solid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1-8058-419C-8307-B16402672D76}"/>
                </c:ext>
              </c:extLst>
            </c:dLbl>
            <c:dLbl>
              <c:idx val="1"/>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8058-419C-8307-B16402672D76}"/>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Services'!$B$18:$C$18</c:f>
              <c:numCache>
                <c:formatCode>_-[$£-809]* #,##0.0_-;\-[$£-809]* #,##0.0_-;_-[$£-809]* "-"??_-;_-@_-</c:formatCode>
                <c:ptCount val="2"/>
                <c:pt idx="0">
                  <c:v>8.3949999999999996</c:v>
                </c:pt>
                <c:pt idx="1">
                  <c:v>10.641000000000002</c:v>
                </c:pt>
              </c:numCache>
            </c:numRef>
          </c:val>
          <c:extLst>
            <c:ext xmlns:c16="http://schemas.microsoft.com/office/drawing/2014/chart" uri="{C3380CC4-5D6E-409C-BE32-E72D297353CC}">
              <c16:uniqueId val="{00000004-F89C-4AFB-8C39-9533A5AC8A4F}"/>
            </c:ext>
          </c:extLst>
        </c:ser>
        <c:ser>
          <c:idx val="5"/>
          <c:order val="5"/>
          <c:tx>
            <c:strRef>
              <c:f>'2. Trade in Services'!$A$19</c:f>
              <c:strCache>
                <c:ptCount val="1"/>
                <c:pt idx="0">
                  <c:v>Insurance and pension</c:v>
                </c:pt>
              </c:strCache>
            </c:strRef>
          </c:tx>
          <c:spPr>
            <a:solidFill>
              <a:srgbClr val="FF832F"/>
            </a:solidFill>
            <a:ln w="12700">
              <a:solidFill>
                <a:srgbClr val="0C5A06"/>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D-F89C-4AFB-8C39-9533A5AC8A4F}"/>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Services'!$B$19:$C$19</c:f>
              <c:numCache>
                <c:formatCode>_-[$£-809]* #,##0.0_-;\-[$£-809]* #,##0.0_-;_-[$£-809]* "-"??_-;_-@_-</c:formatCode>
                <c:ptCount val="2"/>
                <c:pt idx="0">
                  <c:v>1.7010000000000001</c:v>
                </c:pt>
                <c:pt idx="1">
                  <c:v>15.928999999999998</c:v>
                </c:pt>
              </c:numCache>
            </c:numRef>
          </c:val>
          <c:extLst>
            <c:ext xmlns:c16="http://schemas.microsoft.com/office/drawing/2014/chart" uri="{C3380CC4-5D6E-409C-BE32-E72D297353CC}">
              <c16:uniqueId val="{00000005-F89C-4AFB-8C39-9533A5AC8A4F}"/>
            </c:ext>
          </c:extLst>
        </c:ser>
        <c:ser>
          <c:idx val="6"/>
          <c:order val="6"/>
          <c:tx>
            <c:strRef>
              <c:f>'2. Trade in Services'!$A$20</c:f>
              <c:strCache>
                <c:ptCount val="1"/>
                <c:pt idx="0">
                  <c:v>Intellectual property</c:v>
                </c:pt>
              </c:strCache>
            </c:strRef>
          </c:tx>
          <c:spPr>
            <a:solidFill>
              <a:schemeClr val="accent1">
                <a:lumMod val="20000"/>
                <a:lumOff val="80000"/>
              </a:schemeClr>
            </a:solidFill>
            <a:ln w="12700">
              <a:solidFill>
                <a:srgbClr val="001C54"/>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C-F89C-4AFB-8C39-9533A5AC8A4F}"/>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Services'!$B$20:$C$20</c:f>
              <c:numCache>
                <c:formatCode>_-[$£-809]* #,##0.0_-;\-[$£-809]* #,##0.0_-;_-[$£-809]* "-"??_-;_-@_-</c:formatCode>
                <c:ptCount val="2"/>
                <c:pt idx="0">
                  <c:v>4.915</c:v>
                </c:pt>
                <c:pt idx="1">
                  <c:v>7.7339999999999991</c:v>
                </c:pt>
              </c:numCache>
            </c:numRef>
          </c:val>
          <c:extLst>
            <c:ext xmlns:c16="http://schemas.microsoft.com/office/drawing/2014/chart" uri="{C3380CC4-5D6E-409C-BE32-E72D297353CC}">
              <c16:uniqueId val="{00000006-F89C-4AFB-8C39-9533A5AC8A4F}"/>
            </c:ext>
          </c:extLst>
        </c:ser>
        <c:ser>
          <c:idx val="7"/>
          <c:order val="7"/>
          <c:tx>
            <c:strRef>
              <c:f>'2. Trade in Services'!$A$21</c:f>
              <c:strCache>
                <c:ptCount val="1"/>
                <c:pt idx="0">
                  <c:v>Personal cultural and recreational</c:v>
                </c:pt>
              </c:strCache>
            </c:strRef>
          </c:tx>
          <c:spPr>
            <a:solidFill>
              <a:schemeClr val="accent2">
                <a:lumMod val="60000"/>
              </a:schemeClr>
            </a:solidFill>
            <a:ln w="12700">
              <a:solidFill>
                <a:srgbClr val="663300"/>
              </a:solidFill>
            </a:ln>
            <a:effectLst/>
          </c:spPr>
          <c:invertIfNegative val="0"/>
          <c:dLbls>
            <c:delete val="1"/>
          </c:dLbls>
          <c:cat>
            <c:strRef>
              <c:f>'2. Trade in Services'!$B$13:$C$13</c:f>
              <c:strCache>
                <c:ptCount val="2"/>
                <c:pt idx="0">
                  <c:v> EU </c:v>
                </c:pt>
                <c:pt idx="1">
                  <c:v> Non-EU </c:v>
                </c:pt>
              </c:strCache>
            </c:strRef>
          </c:cat>
          <c:val>
            <c:numRef>
              <c:f>'2. Trade in Services'!$B$21:$C$21</c:f>
              <c:numCache>
                <c:formatCode>_-[$£-809]* #,##0.0_-;\-[$£-809]* #,##0.0_-;_-[$£-809]* "-"??_-;_-@_-</c:formatCode>
                <c:ptCount val="2"/>
                <c:pt idx="0">
                  <c:v>1.048</c:v>
                </c:pt>
                <c:pt idx="1">
                  <c:v>2.5829999999999997</c:v>
                </c:pt>
              </c:numCache>
            </c:numRef>
          </c:val>
          <c:extLst>
            <c:ext xmlns:c16="http://schemas.microsoft.com/office/drawing/2014/chart" uri="{C3380CC4-5D6E-409C-BE32-E72D297353CC}">
              <c16:uniqueId val="{00000007-F89C-4AFB-8C39-9533A5AC8A4F}"/>
            </c:ext>
          </c:extLst>
        </c:ser>
        <c:ser>
          <c:idx val="8"/>
          <c:order val="8"/>
          <c:tx>
            <c:strRef>
              <c:f>'2. Trade in Services'!$A$22</c:f>
              <c:strCache>
                <c:ptCount val="1"/>
                <c:pt idx="0">
                  <c:v>Government Services</c:v>
                </c:pt>
              </c:strCache>
            </c:strRef>
          </c:tx>
          <c:spPr>
            <a:solidFill>
              <a:schemeClr val="accent3">
                <a:lumMod val="60000"/>
              </a:schemeClr>
            </a:solidFill>
            <a:ln w="12700">
              <a:solidFill>
                <a:schemeClr val="tx1">
                  <a:lumMod val="95000"/>
                  <a:lumOff val="5000"/>
                </a:schemeClr>
              </a:solidFill>
            </a:ln>
            <a:effectLst/>
          </c:spPr>
          <c:invertIfNegative val="0"/>
          <c:dLbls>
            <c:delete val="1"/>
          </c:dLbls>
          <c:cat>
            <c:strRef>
              <c:f>'2. Trade in Services'!$B$13:$C$13</c:f>
              <c:strCache>
                <c:ptCount val="2"/>
                <c:pt idx="0">
                  <c:v> EU </c:v>
                </c:pt>
                <c:pt idx="1">
                  <c:v> Non-EU </c:v>
                </c:pt>
              </c:strCache>
            </c:strRef>
          </c:cat>
          <c:val>
            <c:numRef>
              <c:f>'2. Trade in Services'!$B$22:$C$22</c:f>
              <c:numCache>
                <c:formatCode>_-[$£-809]* #,##0.0_-;\-[$£-809]* #,##0.0_-;_-[$£-809]* "-"??_-;_-@_-</c:formatCode>
                <c:ptCount val="2"/>
                <c:pt idx="0">
                  <c:v>0.54</c:v>
                </c:pt>
                <c:pt idx="1">
                  <c:v>2.028</c:v>
                </c:pt>
              </c:numCache>
            </c:numRef>
          </c:val>
          <c:extLst>
            <c:ext xmlns:c16="http://schemas.microsoft.com/office/drawing/2014/chart" uri="{C3380CC4-5D6E-409C-BE32-E72D297353CC}">
              <c16:uniqueId val="{00000008-F89C-4AFB-8C39-9533A5AC8A4F}"/>
            </c:ext>
          </c:extLst>
        </c:ser>
        <c:ser>
          <c:idx val="9"/>
          <c:order val="9"/>
          <c:tx>
            <c:strRef>
              <c:f>'2. Trade in Services'!$A$23</c:f>
              <c:strCache>
                <c:ptCount val="1"/>
                <c:pt idx="0">
                  <c:v>Manufacturing Services</c:v>
                </c:pt>
              </c:strCache>
            </c:strRef>
          </c:tx>
          <c:spPr>
            <a:solidFill>
              <a:schemeClr val="accent4">
                <a:lumMod val="60000"/>
              </a:schemeClr>
            </a:solidFill>
            <a:ln w="12700">
              <a:solidFill>
                <a:srgbClr val="663300"/>
              </a:solidFill>
            </a:ln>
            <a:effectLst/>
          </c:spPr>
          <c:invertIfNegative val="0"/>
          <c:dLbls>
            <c:delete val="1"/>
          </c:dLbls>
          <c:cat>
            <c:strRef>
              <c:f>'2. Trade in Services'!$B$13:$C$13</c:f>
              <c:strCache>
                <c:ptCount val="2"/>
                <c:pt idx="0">
                  <c:v> EU </c:v>
                </c:pt>
                <c:pt idx="1">
                  <c:v> Non-EU </c:v>
                </c:pt>
              </c:strCache>
            </c:strRef>
          </c:cat>
          <c:val>
            <c:numRef>
              <c:f>'2. Trade in Services'!$B$23:$C$23</c:f>
              <c:numCache>
                <c:formatCode>_-[$£-809]* #,##0.0_-;\-[$£-809]* #,##0.0_-;_-[$£-809]* "-"??_-;_-@_-</c:formatCode>
                <c:ptCount val="2"/>
                <c:pt idx="0">
                  <c:v>1.0469999999999999</c:v>
                </c:pt>
                <c:pt idx="1">
                  <c:v>1.0469999999999999</c:v>
                </c:pt>
              </c:numCache>
            </c:numRef>
          </c:val>
          <c:extLst>
            <c:ext xmlns:c16="http://schemas.microsoft.com/office/drawing/2014/chart" uri="{C3380CC4-5D6E-409C-BE32-E72D297353CC}">
              <c16:uniqueId val="{00000009-F89C-4AFB-8C39-9533A5AC8A4F}"/>
            </c:ext>
          </c:extLst>
        </c:ser>
        <c:ser>
          <c:idx val="10"/>
          <c:order val="10"/>
          <c:tx>
            <c:strRef>
              <c:f>'2. Trade in Services'!$A$24</c:f>
              <c:strCache>
                <c:ptCount val="1"/>
                <c:pt idx="0">
                  <c:v>Maintenance Services</c:v>
                </c:pt>
              </c:strCache>
            </c:strRef>
          </c:tx>
          <c:spPr>
            <a:solidFill>
              <a:schemeClr val="accent5">
                <a:lumMod val="60000"/>
              </a:schemeClr>
            </a:solidFill>
            <a:ln w="12700">
              <a:solidFill>
                <a:srgbClr val="001C54"/>
              </a:solidFill>
            </a:ln>
            <a:effectLst/>
          </c:spPr>
          <c:invertIfNegative val="0"/>
          <c:dLbls>
            <c:delete val="1"/>
          </c:dLbls>
          <c:cat>
            <c:strRef>
              <c:f>'2. Trade in Services'!$B$13:$C$13</c:f>
              <c:strCache>
                <c:ptCount val="2"/>
                <c:pt idx="0">
                  <c:v> EU </c:v>
                </c:pt>
                <c:pt idx="1">
                  <c:v> Non-EU </c:v>
                </c:pt>
              </c:strCache>
            </c:strRef>
          </c:cat>
          <c:val>
            <c:numRef>
              <c:f>'2. Trade in Services'!$B$24:$C$24</c:f>
              <c:numCache>
                <c:formatCode>_-[$£-809]* #,##0.0_-;\-[$£-809]* #,##0.0_-;_-[$£-809]* "-"??_-;_-@_-</c:formatCode>
                <c:ptCount val="2"/>
                <c:pt idx="0">
                  <c:v>0.9355</c:v>
                </c:pt>
                <c:pt idx="1">
                  <c:v>0.9355</c:v>
                </c:pt>
              </c:numCache>
            </c:numRef>
          </c:val>
          <c:extLst>
            <c:ext xmlns:c16="http://schemas.microsoft.com/office/drawing/2014/chart" uri="{C3380CC4-5D6E-409C-BE32-E72D297353CC}">
              <c16:uniqueId val="{0000000A-F89C-4AFB-8C39-9533A5AC8A4F}"/>
            </c:ext>
          </c:extLst>
        </c:ser>
        <c:ser>
          <c:idx val="11"/>
          <c:order val="11"/>
          <c:tx>
            <c:strRef>
              <c:f>'2. Trade in Services'!$A$25</c:f>
              <c:strCache>
                <c:ptCount val="1"/>
                <c:pt idx="0">
                  <c:v>Construction</c:v>
                </c:pt>
              </c:strCache>
            </c:strRef>
          </c:tx>
          <c:spPr>
            <a:solidFill>
              <a:schemeClr val="accent6">
                <a:lumMod val="60000"/>
              </a:schemeClr>
            </a:solidFill>
            <a:ln w="12700">
              <a:solidFill>
                <a:srgbClr val="062B03"/>
              </a:solidFill>
            </a:ln>
            <a:effectLst/>
          </c:spPr>
          <c:invertIfNegative val="0"/>
          <c:dLbls>
            <c:delete val="1"/>
          </c:dLbls>
          <c:cat>
            <c:strRef>
              <c:f>'2. Trade in Services'!$B$13:$C$13</c:f>
              <c:strCache>
                <c:ptCount val="2"/>
                <c:pt idx="0">
                  <c:v> EU </c:v>
                </c:pt>
                <c:pt idx="1">
                  <c:v> Non-EU </c:v>
                </c:pt>
              </c:strCache>
            </c:strRef>
          </c:cat>
          <c:val>
            <c:numRef>
              <c:f>'2. Trade in Services'!$B$25:$C$25</c:f>
              <c:numCache>
                <c:formatCode>_-[$£-809]* #,##0.0_-;\-[$£-809]* #,##0.0_-;_-[$£-809]* "-"??_-;_-@_-</c:formatCode>
                <c:ptCount val="2"/>
                <c:pt idx="0">
                  <c:v>0.82199999999999995</c:v>
                </c:pt>
                <c:pt idx="1">
                  <c:v>0.96499999999999997</c:v>
                </c:pt>
              </c:numCache>
            </c:numRef>
          </c:val>
          <c:extLst>
            <c:ext xmlns:c16="http://schemas.microsoft.com/office/drawing/2014/chart" uri="{C3380CC4-5D6E-409C-BE32-E72D297353CC}">
              <c16:uniqueId val="{0000000B-F89C-4AFB-8C39-9533A5AC8A4F}"/>
            </c:ext>
          </c:extLst>
        </c:ser>
        <c:dLbls>
          <c:dLblPos val="ctr"/>
          <c:showLegendKey val="0"/>
          <c:showVal val="1"/>
          <c:showCatName val="0"/>
          <c:showSerName val="0"/>
          <c:showPercent val="0"/>
          <c:showBubbleSize val="0"/>
        </c:dLbls>
        <c:gapWidth val="56"/>
        <c:overlap val="100"/>
        <c:axId val="592131296"/>
        <c:axId val="592132608"/>
      </c:barChart>
      <c:catAx>
        <c:axId val="592131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592132608"/>
        <c:crosses val="autoZero"/>
        <c:auto val="1"/>
        <c:lblAlgn val="ctr"/>
        <c:lblOffset val="100"/>
        <c:noMultiLvlLbl val="0"/>
      </c:catAx>
      <c:valAx>
        <c:axId val="592132608"/>
        <c:scaling>
          <c:orientation val="minMax"/>
          <c:max val="16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 billion</a:t>
                </a:r>
              </a:p>
            </c:rich>
          </c:tx>
          <c:layout>
            <c:manualLayout>
              <c:xMode val="edge"/>
              <c:yMode val="edge"/>
              <c:x val="0.48300540960763422"/>
              <c:y val="0.71901223483750087"/>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809]* #,##0_-;\-[$£-809]* #,##0_-;_-[$£-809]* &quot;-&quot;_-;_-@_-" sourceLinked="0"/>
        <c:majorTickMark val="none"/>
        <c:minorTickMark val="none"/>
        <c:tickLblPos val="high"/>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92131296"/>
        <c:crosses val="autoZero"/>
        <c:crossBetween val="between"/>
      </c:valAx>
      <c:spPr>
        <a:noFill/>
        <a:ln>
          <a:noFill/>
        </a:ln>
        <a:effectLst/>
      </c:spPr>
    </c:plotArea>
    <c:legend>
      <c:legendPos val="b"/>
      <c:layout>
        <c:manualLayout>
          <c:xMode val="edge"/>
          <c:yMode val="edge"/>
          <c:x val="2.9049836601307187E-2"/>
          <c:y val="0.78605685652929747"/>
          <c:w val="0.95218839001507782"/>
          <c:h val="0.20427600554037523"/>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effectLst/>
                <a:latin typeface="+mn-lt"/>
                <a:ea typeface="+mn-ea"/>
                <a:cs typeface="+mn-cs"/>
              </a:defRPr>
            </a:pPr>
            <a:r>
              <a:rPr lang="en-AU" sz="1400" b="1" i="0" u="none" strike="noStrike" kern="1200" spc="0" baseline="0">
                <a:solidFill>
                  <a:sysClr val="windowText" lastClr="000000">
                    <a:lumMod val="65000"/>
                    <a:lumOff val="35000"/>
                  </a:sysClr>
                </a:solidFill>
                <a:effectLst/>
                <a:latin typeface="+mn-lt"/>
                <a:ea typeface="+mn-ea"/>
                <a:cs typeface="+mn-cs"/>
              </a:rPr>
              <a:t>Export of services to EU and non-EU countries: 1999 - 2017</a:t>
            </a:r>
          </a:p>
        </c:rich>
      </c:tx>
      <c:overlay val="0"/>
      <c:spPr>
        <a:noFill/>
        <a:ln>
          <a:noFill/>
        </a:ln>
        <a:effectLst/>
      </c:spPr>
      <c:txPr>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effectLst/>
              <a:latin typeface="+mn-lt"/>
              <a:ea typeface="+mn-ea"/>
              <a:cs typeface="+mn-cs"/>
            </a:defRPr>
          </a:pPr>
          <a:endParaRPr lang="en-US"/>
        </a:p>
      </c:txPr>
    </c:title>
    <c:autoTitleDeleted val="0"/>
    <c:plotArea>
      <c:layout/>
      <c:barChart>
        <c:barDir val="col"/>
        <c:grouping val="clustered"/>
        <c:varyColors val="0"/>
        <c:ser>
          <c:idx val="0"/>
          <c:order val="0"/>
          <c:tx>
            <c:strRef>
              <c:f>'2. Trade in Services'!$A$154</c:f>
              <c:strCache>
                <c:ptCount val="1"/>
                <c:pt idx="0">
                  <c:v>Services exports to EU (£ billion)</c:v>
                </c:pt>
              </c:strCache>
            </c:strRef>
          </c:tx>
          <c:spPr>
            <a:solidFill>
              <a:srgbClr val="C00000"/>
            </a:solidFill>
            <a:ln>
              <a:solidFill>
                <a:srgbClr val="990000"/>
              </a:solidFill>
            </a:ln>
            <a:effectLst/>
          </c:spPr>
          <c:invertIfNegative val="0"/>
          <c:cat>
            <c:numRef>
              <c:f>'2. Trade in Services'!$B$153:$T$153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'2. Trade in Services'!$B$154:$T$154</c:f>
              <c:numCache>
                <c:formatCode>0.00</c:formatCode>
                <c:ptCount val="19"/>
                <c:pt idx="0">
                  <c:v>39.730769230769226</c:v>
                </c:pt>
                <c:pt idx="1">
                  <c:v>42.542244640605297</c:v>
                </c:pt>
                <c:pt idx="2">
                  <c:v>46.53566958698373</c:v>
                </c:pt>
                <c:pt idx="3">
                  <c:v>48.508217446270542</c:v>
                </c:pt>
                <c:pt idx="4">
                  <c:v>53.450495049504958</c:v>
                </c:pt>
                <c:pt idx="5">
                  <c:v>58.21366459627329</c:v>
                </c:pt>
                <c:pt idx="6">
                  <c:v>66.604848484848489</c:v>
                </c:pt>
                <c:pt idx="7">
                  <c:v>71.578758949880665</c:v>
                </c:pt>
                <c:pt idx="8">
                  <c:v>79.65625</c:v>
                </c:pt>
                <c:pt idx="9">
                  <c:v>76.701754385964904</c:v>
                </c:pt>
                <c:pt idx="10">
                  <c:v>74.445617740232308</c:v>
                </c:pt>
                <c:pt idx="11">
                  <c:v>74.197592778334993</c:v>
                </c:pt>
                <c:pt idx="12">
                  <c:v>76.608943862987644</c:v>
                </c:pt>
                <c:pt idx="13">
                  <c:v>78.742640075973412</c:v>
                </c:pt>
                <c:pt idx="14">
                  <c:v>74.744228993536467</c:v>
                </c:pt>
                <c:pt idx="15">
                  <c:v>86.052231718898383</c:v>
                </c:pt>
                <c:pt idx="16">
                  <c:v>91.447999999999993</c:v>
                </c:pt>
                <c:pt idx="17">
                  <c:v>93.263358778625943</c:v>
                </c:pt>
                <c:pt idx="18" formatCode="General">
                  <c:v>108.23099999999999</c:v>
                </c:pt>
              </c:numCache>
            </c:numRef>
          </c:val>
          <c:extLst>
            <c:ext xmlns:c16="http://schemas.microsoft.com/office/drawing/2014/chart" uri="{C3380CC4-5D6E-409C-BE32-E72D297353CC}">
              <c16:uniqueId val="{00000000-4704-4915-99A8-5C12EC3FD6AD}"/>
            </c:ext>
          </c:extLst>
        </c:ser>
        <c:ser>
          <c:idx val="1"/>
          <c:order val="1"/>
          <c:tx>
            <c:strRef>
              <c:f>'2. Trade in Services'!$A$155</c:f>
              <c:strCache>
                <c:ptCount val="1"/>
                <c:pt idx="0">
                  <c:v>Services exports to non-EU (£ billion)</c:v>
                </c:pt>
              </c:strCache>
            </c:strRef>
          </c:tx>
          <c:spPr>
            <a:solidFill>
              <a:srgbClr val="002060"/>
            </a:solidFill>
            <a:ln>
              <a:noFill/>
            </a:ln>
            <a:effectLst/>
          </c:spPr>
          <c:invertIfNegative val="0"/>
          <c:cat>
            <c:numRef>
              <c:f>'2. Trade in Services'!$B$153:$T$153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'2. Trade in Services'!$B$155:$T$155</c:f>
              <c:numCache>
                <c:formatCode>0.000</c:formatCode>
                <c:ptCount val="19"/>
                <c:pt idx="0">
                  <c:v>58.326923076923073</c:v>
                </c:pt>
                <c:pt idx="1">
                  <c:v>61.38083228247163</c:v>
                </c:pt>
                <c:pt idx="2">
                  <c:v>64.87734668335419</c:v>
                </c:pt>
                <c:pt idx="3">
                  <c:v>69.940581542351467</c:v>
                </c:pt>
                <c:pt idx="4">
                  <c:v>76.819306930693074</c:v>
                </c:pt>
                <c:pt idx="5">
                  <c:v>85.486956521739117</c:v>
                </c:pt>
                <c:pt idx="6">
                  <c:v>91.305454545454552</c:v>
                </c:pt>
                <c:pt idx="7">
                  <c:v>103.78281622911695</c:v>
                </c:pt>
                <c:pt idx="8">
                  <c:v>113.62620192307692</c:v>
                </c:pt>
                <c:pt idx="9">
                  <c:v>109.875</c:v>
                </c:pt>
                <c:pt idx="10">
                  <c:v>109.98416050686377</c:v>
                </c:pt>
                <c:pt idx="11">
                  <c:v>106.39418254764293</c:v>
                </c:pt>
                <c:pt idx="12">
                  <c:v>110.6907706945766</c:v>
                </c:pt>
                <c:pt idx="13">
                  <c:v>116.27540360873695</c:v>
                </c:pt>
                <c:pt idx="14">
                  <c:v>131.29085872576178</c:v>
                </c:pt>
                <c:pt idx="15">
                  <c:v>129.68945868945869</c:v>
                </c:pt>
                <c:pt idx="16">
                  <c:v>141.41</c:v>
                </c:pt>
                <c:pt idx="17">
                  <c:v>152.81297709923663</c:v>
                </c:pt>
                <c:pt idx="18" formatCode="General">
                  <c:v>171.35</c:v>
                </c:pt>
              </c:numCache>
            </c:numRef>
          </c:val>
          <c:extLst>
            <c:ext xmlns:c16="http://schemas.microsoft.com/office/drawing/2014/chart" uri="{C3380CC4-5D6E-409C-BE32-E72D297353CC}">
              <c16:uniqueId val="{00000001-4704-4915-99A8-5C12EC3FD6AD}"/>
            </c:ext>
          </c:extLst>
        </c:ser>
        <c:dLbls>
          <c:showLegendKey val="0"/>
          <c:showVal val="0"/>
          <c:showCatName val="0"/>
          <c:showSerName val="0"/>
          <c:showPercent val="0"/>
          <c:showBubbleSize val="0"/>
        </c:dLbls>
        <c:gapWidth val="219"/>
        <c:overlap val="-27"/>
        <c:axId val="549394160"/>
        <c:axId val="549390552"/>
      </c:barChart>
      <c:catAx>
        <c:axId val="549394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549390552"/>
        <c:crosses val="autoZero"/>
        <c:auto val="1"/>
        <c:lblAlgn val="ctr"/>
        <c:lblOffset val="100"/>
        <c:noMultiLvlLbl val="0"/>
      </c:catAx>
      <c:valAx>
        <c:axId val="549390552"/>
        <c:scaling>
          <c:orientation val="minMax"/>
          <c:max val="1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latin typeface="Calibri" panose="020F0502020204030204" pitchFamily="34" charset="0"/>
                    <a:cs typeface="Calibri" panose="020F0502020204030204" pitchFamily="34" charset="0"/>
                  </a:rPr>
                  <a:t>£ billion</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394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r>
              <a:rPr lang="en-AU" sz="1260" b="1" i="0" u="none" strike="noStrike" kern="1200" spc="0" baseline="0">
                <a:solidFill>
                  <a:sysClr val="windowText" lastClr="000000">
                    <a:lumMod val="65000"/>
                    <a:lumOff val="35000"/>
                  </a:sysClr>
                </a:solidFill>
                <a:latin typeface="+mn-lt"/>
                <a:ea typeface="+mn-ea"/>
                <a:cs typeface="+mn-cs"/>
              </a:rPr>
              <a:t>Change in EU's share of UK trade in services</a:t>
            </a:r>
          </a:p>
        </c:rich>
      </c:tx>
      <c:overlay val="0"/>
      <c:spPr>
        <a:noFill/>
        <a:ln>
          <a:noFill/>
        </a:ln>
        <a:effectLst/>
      </c:spPr>
      <c:txPr>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'2. Trade in Services'!$A$125</c:f>
              <c:strCache>
                <c:ptCount val="1"/>
                <c:pt idx="0">
                  <c:v>Destination for exports</c:v>
                </c:pt>
              </c:strCache>
            </c:strRef>
          </c:tx>
          <c:spPr>
            <a:solidFill>
              <a:srgbClr val="C00000"/>
            </a:solidFill>
            <a:ln w="9525">
              <a:solidFill>
                <a:srgbClr val="000E2A"/>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AU"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 Trade in Services'!$B$124:$C$124</c:f>
              <c:numCache>
                <c:formatCode>General</c:formatCode>
                <c:ptCount val="2"/>
                <c:pt idx="0">
                  <c:v>1999</c:v>
                </c:pt>
                <c:pt idx="1">
                  <c:v>2017</c:v>
                </c:pt>
              </c:numCache>
            </c:numRef>
          </c:cat>
          <c:val>
            <c:numRef>
              <c:f>'2. Trade in Services'!$B$125:$C$125</c:f>
              <c:numCache>
                <c:formatCode>0%</c:formatCode>
                <c:ptCount val="2"/>
                <c:pt idx="0">
                  <c:v>0.41101224535259079</c:v>
                </c:pt>
                <c:pt idx="1">
                  <c:v>0.39729407244135906</c:v>
                </c:pt>
              </c:numCache>
            </c:numRef>
          </c:val>
          <c:extLst>
            <c:ext xmlns:c16="http://schemas.microsoft.com/office/drawing/2014/chart" uri="{C3380CC4-5D6E-409C-BE32-E72D297353CC}">
              <c16:uniqueId val="{00000000-10FD-487B-B3F0-EA2937C69FDB}"/>
            </c:ext>
          </c:extLst>
        </c:ser>
        <c:ser>
          <c:idx val="1"/>
          <c:order val="1"/>
          <c:tx>
            <c:strRef>
              <c:f>'2. Trade in Services'!$A$126</c:f>
              <c:strCache>
                <c:ptCount val="1"/>
                <c:pt idx="0">
                  <c:v>Source of imports</c:v>
                </c:pt>
              </c:strCache>
            </c:strRef>
          </c:tx>
          <c:spPr>
            <a:solidFill>
              <a:srgbClr val="001C54"/>
            </a:solidFill>
            <a:ln w="12700">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AU"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 Trade in Services'!$B$124:$C$124</c:f>
              <c:numCache>
                <c:formatCode>General</c:formatCode>
                <c:ptCount val="2"/>
                <c:pt idx="0">
                  <c:v>1999</c:v>
                </c:pt>
                <c:pt idx="1">
                  <c:v>2017</c:v>
                </c:pt>
              </c:numCache>
            </c:numRef>
          </c:cat>
          <c:val>
            <c:numRef>
              <c:f>'2. Trade in Services'!$B$126:$C$126</c:f>
              <c:numCache>
                <c:formatCode>0%</c:formatCode>
                <c:ptCount val="2"/>
                <c:pt idx="0">
                  <c:v>0.55692031572237721</c:v>
                </c:pt>
                <c:pt idx="1">
                  <c:v>0.49090724902157679</c:v>
                </c:pt>
              </c:numCache>
            </c:numRef>
          </c:val>
          <c:extLst>
            <c:ext xmlns:c16="http://schemas.microsoft.com/office/drawing/2014/chart" uri="{C3380CC4-5D6E-409C-BE32-E72D297353CC}">
              <c16:uniqueId val="{00000001-10FD-487B-B3F0-EA2937C69FDB}"/>
            </c:ext>
          </c:extLst>
        </c:ser>
        <c:dLbls>
          <c:dLblPos val="inEnd"/>
          <c:showLegendKey val="0"/>
          <c:showVal val="1"/>
          <c:showCatName val="0"/>
          <c:showSerName val="0"/>
          <c:showPercent val="0"/>
          <c:showBubbleSize val="0"/>
        </c:dLbls>
        <c:gapWidth val="219"/>
        <c:overlap val="-27"/>
        <c:axId val="696444328"/>
        <c:axId val="696444656"/>
      </c:barChart>
      <c:catAx>
        <c:axId val="696444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6444656"/>
        <c:crosses val="autoZero"/>
        <c:auto val="1"/>
        <c:lblAlgn val="ctr"/>
        <c:lblOffset val="100"/>
        <c:noMultiLvlLbl val="0"/>
      </c:catAx>
      <c:valAx>
        <c:axId val="696444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6444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1" i="0" baseline="0">
                <a:effectLst/>
              </a:rPr>
              <a:t>UK – EU trade in services: 1999 – 2017</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 Trade in Services'!$A$176</c:f>
              <c:strCache>
                <c:ptCount val="1"/>
                <c:pt idx="0">
                  <c:v>Services exports to EU (£ billion)</c:v>
                </c:pt>
              </c:strCache>
            </c:strRef>
          </c:tx>
          <c:spPr>
            <a:solidFill>
              <a:srgbClr val="C00000"/>
            </a:solidFill>
            <a:ln>
              <a:solidFill>
                <a:srgbClr val="990000"/>
              </a:solidFill>
            </a:ln>
            <a:effectLst/>
          </c:spPr>
          <c:invertIfNegative val="0"/>
          <c:cat>
            <c:numRef>
              <c:f>'2. Trade in Services'!$B$175:$T$175</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'2. Trade in Services'!$B$176:$T$176</c:f>
              <c:numCache>
                <c:formatCode>0.00</c:formatCode>
                <c:ptCount val="19"/>
                <c:pt idx="0">
                  <c:v>39.730769230769226</c:v>
                </c:pt>
                <c:pt idx="1">
                  <c:v>42.542244640605297</c:v>
                </c:pt>
                <c:pt idx="2">
                  <c:v>46.53566958698373</c:v>
                </c:pt>
                <c:pt idx="3">
                  <c:v>48.508217446270542</c:v>
                </c:pt>
                <c:pt idx="4">
                  <c:v>53.450495049504958</c:v>
                </c:pt>
                <c:pt idx="5">
                  <c:v>58.21366459627329</c:v>
                </c:pt>
                <c:pt idx="6">
                  <c:v>66.604848484848489</c:v>
                </c:pt>
                <c:pt idx="7">
                  <c:v>71.578758949880665</c:v>
                </c:pt>
                <c:pt idx="8">
                  <c:v>79.65625</c:v>
                </c:pt>
                <c:pt idx="9">
                  <c:v>76.701754385964904</c:v>
                </c:pt>
                <c:pt idx="10">
                  <c:v>74.445617740232308</c:v>
                </c:pt>
                <c:pt idx="11">
                  <c:v>74.197592778334993</c:v>
                </c:pt>
                <c:pt idx="12">
                  <c:v>76.608943862987644</c:v>
                </c:pt>
                <c:pt idx="13">
                  <c:v>78.742640075973412</c:v>
                </c:pt>
                <c:pt idx="14">
                  <c:v>74.744228993536467</c:v>
                </c:pt>
                <c:pt idx="15">
                  <c:v>86.052231718898383</c:v>
                </c:pt>
                <c:pt idx="16">
                  <c:v>91.447999999999993</c:v>
                </c:pt>
                <c:pt idx="17">
                  <c:v>93.263358778625943</c:v>
                </c:pt>
                <c:pt idx="18">
                  <c:v>105.16621743036838</c:v>
                </c:pt>
              </c:numCache>
            </c:numRef>
          </c:val>
          <c:extLst>
            <c:ext xmlns:c16="http://schemas.microsoft.com/office/drawing/2014/chart" uri="{C3380CC4-5D6E-409C-BE32-E72D297353CC}">
              <c16:uniqueId val="{00000000-6996-43A9-B2F7-72D8D63B7683}"/>
            </c:ext>
          </c:extLst>
        </c:ser>
        <c:ser>
          <c:idx val="1"/>
          <c:order val="1"/>
          <c:tx>
            <c:strRef>
              <c:f>'2. Trade in Services'!$A$177</c:f>
              <c:strCache>
                <c:ptCount val="1"/>
                <c:pt idx="0">
                  <c:v>Services imports from EU (£ billion)</c:v>
                </c:pt>
              </c:strCache>
            </c:strRef>
          </c:tx>
          <c:spPr>
            <a:solidFill>
              <a:srgbClr val="001C54"/>
            </a:solidFill>
            <a:ln>
              <a:noFill/>
            </a:ln>
            <a:effectLst/>
          </c:spPr>
          <c:invertIfNegative val="0"/>
          <c:cat>
            <c:numRef>
              <c:f>'2. Trade in Services'!$B$175:$T$175</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'2. Trade in Services'!$B$177:$T$177</c:f>
              <c:numCache>
                <c:formatCode>0.00</c:formatCode>
                <c:ptCount val="19"/>
                <c:pt idx="0">
                  <c:v>42.325665859564168</c:v>
                </c:pt>
                <c:pt idx="1">
                  <c:v>44.866587957497053</c:v>
                </c:pt>
                <c:pt idx="2">
                  <c:v>48.300591715976331</c:v>
                </c:pt>
                <c:pt idx="3">
                  <c:v>53.050970873786405</c:v>
                </c:pt>
                <c:pt idx="4">
                  <c:v>57.666265060240967</c:v>
                </c:pt>
                <c:pt idx="5">
                  <c:v>60.186813186813183</c:v>
                </c:pt>
                <c:pt idx="6">
                  <c:v>62.727594339622641</c:v>
                </c:pt>
                <c:pt idx="7">
                  <c:v>65.053117782909936</c:v>
                </c:pt>
                <c:pt idx="8">
                  <c:v>65.769942196531787</c:v>
                </c:pt>
                <c:pt idx="9">
                  <c:v>62.408393039918117</c:v>
                </c:pt>
                <c:pt idx="10">
                  <c:v>59.197211155378483</c:v>
                </c:pt>
                <c:pt idx="11">
                  <c:v>56.430769230769229</c:v>
                </c:pt>
                <c:pt idx="12">
                  <c:v>53.780180180180174</c:v>
                </c:pt>
                <c:pt idx="13">
                  <c:v>56.875567665758403</c:v>
                </c:pt>
                <c:pt idx="14">
                  <c:v>58.969396939693972</c:v>
                </c:pt>
                <c:pt idx="15">
                  <c:v>62.619002822201317</c:v>
                </c:pt>
                <c:pt idx="16">
                  <c:v>68.647000000000006</c:v>
                </c:pt>
                <c:pt idx="17">
                  <c:v>75.428433268858797</c:v>
                </c:pt>
                <c:pt idx="18">
                  <c:v>73.689213893967093</c:v>
                </c:pt>
              </c:numCache>
            </c:numRef>
          </c:val>
          <c:extLst>
            <c:ext xmlns:c16="http://schemas.microsoft.com/office/drawing/2014/chart" uri="{C3380CC4-5D6E-409C-BE32-E72D297353CC}">
              <c16:uniqueId val="{00000001-6996-43A9-B2F7-72D8D63B7683}"/>
            </c:ext>
          </c:extLst>
        </c:ser>
        <c:ser>
          <c:idx val="2"/>
          <c:order val="2"/>
          <c:tx>
            <c:strRef>
              <c:f>'2. Trade in Services'!$A$178</c:f>
              <c:strCache>
                <c:ptCount val="1"/>
                <c:pt idx="0">
                  <c:v>Balance</c:v>
                </c:pt>
              </c:strCache>
            </c:strRef>
          </c:tx>
          <c:spPr>
            <a:solidFill>
              <a:schemeClr val="accent3"/>
            </a:solidFill>
            <a:ln>
              <a:solidFill>
                <a:sysClr val="windowText" lastClr="000000"/>
              </a:solidFill>
            </a:ln>
            <a:effectLst/>
          </c:spPr>
          <c:invertIfNegative val="0"/>
          <c:cat>
            <c:numRef>
              <c:f>'2. Trade in Services'!$B$175:$T$175</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'2. Trade in Services'!$B$178:$T$178</c:f>
              <c:numCache>
                <c:formatCode>0.00</c:formatCode>
                <c:ptCount val="19"/>
                <c:pt idx="0">
                  <c:v>-2.5948966287949418</c:v>
                </c:pt>
                <c:pt idx="1">
                  <c:v>-2.3243433168917562</c:v>
                </c:pt>
                <c:pt idx="2">
                  <c:v>-1.7649221289926018</c:v>
                </c:pt>
                <c:pt idx="3">
                  <c:v>-4.5427534275158621</c:v>
                </c:pt>
                <c:pt idx="4">
                  <c:v>-4.2157700107360085</c:v>
                </c:pt>
                <c:pt idx="5">
                  <c:v>-1.9731485905398927</c:v>
                </c:pt>
                <c:pt idx="6">
                  <c:v>3.877254145225848</c:v>
                </c:pt>
                <c:pt idx="7">
                  <c:v>6.525641166970729</c:v>
                </c:pt>
                <c:pt idx="8">
                  <c:v>13.886307803468213</c:v>
                </c:pt>
                <c:pt idx="9">
                  <c:v>14.293361346046787</c:v>
                </c:pt>
                <c:pt idx="10">
                  <c:v>15.248406584853825</c:v>
                </c:pt>
                <c:pt idx="11">
                  <c:v>17.766823547565764</c:v>
                </c:pt>
                <c:pt idx="12">
                  <c:v>22.82876368280747</c:v>
                </c:pt>
                <c:pt idx="13">
                  <c:v>21.867072410215009</c:v>
                </c:pt>
                <c:pt idx="14">
                  <c:v>15.774832053842495</c:v>
                </c:pt>
                <c:pt idx="15">
                  <c:v>23.433228896697067</c:v>
                </c:pt>
                <c:pt idx="16">
                  <c:v>22.800999999999988</c:v>
                </c:pt>
                <c:pt idx="17">
                  <c:v>17.834925509767146</c:v>
                </c:pt>
                <c:pt idx="18">
                  <c:v>31.477003536401284</c:v>
                </c:pt>
              </c:numCache>
            </c:numRef>
          </c:val>
          <c:extLst>
            <c:ext xmlns:c16="http://schemas.microsoft.com/office/drawing/2014/chart" uri="{C3380CC4-5D6E-409C-BE32-E72D297353CC}">
              <c16:uniqueId val="{00000002-6996-43A9-B2F7-72D8D63B7683}"/>
            </c:ext>
          </c:extLst>
        </c:ser>
        <c:dLbls>
          <c:showLegendKey val="0"/>
          <c:showVal val="0"/>
          <c:showCatName val="0"/>
          <c:showSerName val="0"/>
          <c:showPercent val="0"/>
          <c:showBubbleSize val="0"/>
        </c:dLbls>
        <c:gapWidth val="219"/>
        <c:overlap val="-27"/>
        <c:axId val="677211624"/>
        <c:axId val="677209656"/>
      </c:barChart>
      <c:catAx>
        <c:axId val="677211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209656"/>
        <c:crosses val="autoZero"/>
        <c:auto val="1"/>
        <c:lblAlgn val="ctr"/>
        <c:lblOffset val="100"/>
        <c:noMultiLvlLbl val="0"/>
      </c:catAx>
      <c:valAx>
        <c:axId val="67720965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latin typeface="Calibri" panose="020F0502020204030204" pitchFamily="34" charset="0"/>
                    <a:cs typeface="Calibri" panose="020F0502020204030204" pitchFamily="34" charset="0"/>
                  </a:rPr>
                  <a:t>£ billion</a:t>
                </a:r>
                <a:endParaRPr lang="en-AU"/>
              </a:p>
            </c:rich>
          </c:tx>
          <c:layout>
            <c:manualLayout>
              <c:xMode val="edge"/>
              <c:yMode val="edge"/>
              <c:x val="1.2826602845620557E-2"/>
              <c:y val="0.357112996733613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211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1" i="0" baseline="0">
                <a:effectLst/>
              </a:rPr>
              <a:t>UK – EU trade in services: 1999 – 2017</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'2. Trade in Services'!$A$181</c:f>
              <c:strCache>
                <c:ptCount val="1"/>
                <c:pt idx="0">
                  <c:v>Services exports to non-EU (£ billion)</c:v>
                </c:pt>
              </c:strCache>
            </c:strRef>
          </c:tx>
          <c:spPr>
            <a:solidFill>
              <a:srgbClr val="C00000"/>
            </a:solidFill>
            <a:ln>
              <a:solidFill>
                <a:srgbClr val="990000"/>
              </a:solidFill>
            </a:ln>
            <a:effectLst/>
          </c:spPr>
          <c:invertIfNegative val="0"/>
          <c:cat>
            <c:numRef>
              <c:f>'2. Trade in Services'!$B$180:$T$180</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'2. Trade in Services'!$B$181:$T$181</c:f>
              <c:numCache>
                <c:formatCode>0.000</c:formatCode>
                <c:ptCount val="19"/>
                <c:pt idx="0">
                  <c:v>58.326923076923073</c:v>
                </c:pt>
                <c:pt idx="1">
                  <c:v>61.38083228247163</c:v>
                </c:pt>
                <c:pt idx="2">
                  <c:v>64.87734668335419</c:v>
                </c:pt>
                <c:pt idx="3">
                  <c:v>69.940581542351467</c:v>
                </c:pt>
                <c:pt idx="4">
                  <c:v>76.819306930693074</c:v>
                </c:pt>
                <c:pt idx="5">
                  <c:v>85.486956521739117</c:v>
                </c:pt>
                <c:pt idx="6">
                  <c:v>91.305454545454552</c:v>
                </c:pt>
                <c:pt idx="7">
                  <c:v>103.78281622911695</c:v>
                </c:pt>
                <c:pt idx="8">
                  <c:v>113.62620192307692</c:v>
                </c:pt>
                <c:pt idx="9">
                  <c:v>109.875</c:v>
                </c:pt>
                <c:pt idx="10">
                  <c:v>109.98416050686377</c:v>
                </c:pt>
                <c:pt idx="11">
                  <c:v>106.39418254764293</c:v>
                </c:pt>
                <c:pt idx="12">
                  <c:v>110.6907706945766</c:v>
                </c:pt>
                <c:pt idx="13">
                  <c:v>116.27540360873695</c:v>
                </c:pt>
                <c:pt idx="14">
                  <c:v>131.29085872576178</c:v>
                </c:pt>
                <c:pt idx="15">
                  <c:v>129.68945868945869</c:v>
                </c:pt>
                <c:pt idx="16">
                  <c:v>141.41</c:v>
                </c:pt>
                <c:pt idx="17">
                  <c:v>152.81297709923663</c:v>
                </c:pt>
                <c:pt idx="18">
                  <c:v>145.52920035938902</c:v>
                </c:pt>
              </c:numCache>
            </c:numRef>
          </c:val>
          <c:extLst>
            <c:ext xmlns:c16="http://schemas.microsoft.com/office/drawing/2014/chart" uri="{C3380CC4-5D6E-409C-BE32-E72D297353CC}">
              <c16:uniqueId val="{00000001-787F-4758-AAAA-2C429ADF8E1B}"/>
            </c:ext>
          </c:extLst>
        </c:ser>
        <c:ser>
          <c:idx val="2"/>
          <c:order val="2"/>
          <c:tx>
            <c:strRef>
              <c:f>'2. Trade in Services'!$A$182</c:f>
              <c:strCache>
                <c:ptCount val="1"/>
                <c:pt idx="0">
                  <c:v>Services imports from non-EU(£ billion)</c:v>
                </c:pt>
              </c:strCache>
            </c:strRef>
          </c:tx>
          <c:spPr>
            <a:solidFill>
              <a:srgbClr val="001C54"/>
            </a:solidFill>
            <a:ln>
              <a:noFill/>
            </a:ln>
            <a:effectLst/>
          </c:spPr>
          <c:invertIfNegative val="0"/>
          <c:cat>
            <c:numRef>
              <c:f>'2. Trade in Services'!$B$180:$T$180</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'2. Trade in Services'!$B$182:$T$182</c:f>
              <c:numCache>
                <c:formatCode>0.000</c:formatCode>
                <c:ptCount val="19"/>
                <c:pt idx="0">
                  <c:v>33.832929782082331</c:v>
                </c:pt>
                <c:pt idx="1">
                  <c:v>36.341204250295156</c:v>
                </c:pt>
                <c:pt idx="2">
                  <c:v>37.622485207100596</c:v>
                </c:pt>
                <c:pt idx="3">
                  <c:v>40.877427184466015</c:v>
                </c:pt>
                <c:pt idx="4">
                  <c:v>43.88674698795181</c:v>
                </c:pt>
                <c:pt idx="5">
                  <c:v>47.587301587301582</c:v>
                </c:pt>
                <c:pt idx="6">
                  <c:v>50.215801886792455</c:v>
                </c:pt>
                <c:pt idx="7">
                  <c:v>54.363741339491916</c:v>
                </c:pt>
                <c:pt idx="8">
                  <c:v>58.215028901734108</c:v>
                </c:pt>
                <c:pt idx="9">
                  <c:v>57.852610030706245</c:v>
                </c:pt>
                <c:pt idx="10">
                  <c:v>58.008964143426297</c:v>
                </c:pt>
                <c:pt idx="11">
                  <c:v>58.511538461538457</c:v>
                </c:pt>
                <c:pt idx="12">
                  <c:v>55.194594594594591</c:v>
                </c:pt>
                <c:pt idx="13">
                  <c:v>55.958219800181652</c:v>
                </c:pt>
                <c:pt idx="14">
                  <c:v>60.906390639063908</c:v>
                </c:pt>
                <c:pt idx="15">
                  <c:v>64.173095014110999</c:v>
                </c:pt>
                <c:pt idx="16">
                  <c:v>73.385000000000005</c:v>
                </c:pt>
                <c:pt idx="17">
                  <c:v>75.560928433268856</c:v>
                </c:pt>
                <c:pt idx="18">
                  <c:v>76.885740402193775</c:v>
                </c:pt>
              </c:numCache>
            </c:numRef>
          </c:val>
          <c:extLst>
            <c:ext xmlns:c16="http://schemas.microsoft.com/office/drawing/2014/chart" uri="{C3380CC4-5D6E-409C-BE32-E72D297353CC}">
              <c16:uniqueId val="{00000002-787F-4758-AAAA-2C429ADF8E1B}"/>
            </c:ext>
          </c:extLst>
        </c:ser>
        <c:ser>
          <c:idx val="3"/>
          <c:order val="3"/>
          <c:tx>
            <c:strRef>
              <c:f>'2. Trade in Services'!$A$183</c:f>
              <c:strCache>
                <c:ptCount val="1"/>
                <c:pt idx="0">
                  <c:v>Balance</c:v>
                </c:pt>
              </c:strCache>
            </c:strRef>
          </c:tx>
          <c:spPr>
            <a:solidFill>
              <a:schemeClr val="bg1">
                <a:lumMod val="50000"/>
              </a:schemeClr>
            </a:solidFill>
            <a:ln>
              <a:solidFill>
                <a:sysClr val="windowText" lastClr="000000"/>
              </a:solidFill>
            </a:ln>
            <a:effectLst/>
          </c:spPr>
          <c:invertIfNegative val="0"/>
          <c:cat>
            <c:numRef>
              <c:f>'2. Trade in Services'!$B$180:$T$180</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'2. Trade in Services'!$B$183:$T$183</c:f>
              <c:numCache>
                <c:formatCode>0.00</c:formatCode>
                <c:ptCount val="19"/>
                <c:pt idx="0">
                  <c:v>24.493993294840742</c:v>
                </c:pt>
                <c:pt idx="1">
                  <c:v>25.039628032176473</c:v>
                </c:pt>
                <c:pt idx="2">
                  <c:v>27.254861476253595</c:v>
                </c:pt>
                <c:pt idx="3">
                  <c:v>29.063154357885452</c:v>
                </c:pt>
                <c:pt idx="4">
                  <c:v>32.932559942741264</c:v>
                </c:pt>
                <c:pt idx="5">
                  <c:v>37.899654934437535</c:v>
                </c:pt>
                <c:pt idx="6">
                  <c:v>41.089652658662096</c:v>
                </c:pt>
                <c:pt idx="7">
                  <c:v>49.41907488962503</c:v>
                </c:pt>
                <c:pt idx="8">
                  <c:v>55.411173021342812</c:v>
                </c:pt>
                <c:pt idx="9">
                  <c:v>52.022389969293755</c:v>
                </c:pt>
                <c:pt idx="10">
                  <c:v>51.975196363437476</c:v>
                </c:pt>
                <c:pt idx="11">
                  <c:v>47.88264408610447</c:v>
                </c:pt>
                <c:pt idx="12">
                  <c:v>55.496176099982009</c:v>
                </c:pt>
                <c:pt idx="13">
                  <c:v>60.317183808555299</c:v>
                </c:pt>
                <c:pt idx="14">
                  <c:v>70.384468086697865</c:v>
                </c:pt>
                <c:pt idx="15">
                  <c:v>65.516363675347691</c:v>
                </c:pt>
                <c:pt idx="16">
                  <c:v>68.024999999999991</c:v>
                </c:pt>
                <c:pt idx="17">
                  <c:v>77.252048665967777</c:v>
                </c:pt>
                <c:pt idx="18">
                  <c:v>68.643459957195248</c:v>
                </c:pt>
              </c:numCache>
            </c:numRef>
          </c:val>
          <c:extLst>
            <c:ext xmlns:c16="http://schemas.microsoft.com/office/drawing/2014/chart" uri="{C3380CC4-5D6E-409C-BE32-E72D297353CC}">
              <c16:uniqueId val="{00000004-787F-4758-AAAA-2C429ADF8E1B}"/>
            </c:ext>
          </c:extLst>
        </c:ser>
        <c:dLbls>
          <c:showLegendKey val="0"/>
          <c:showVal val="0"/>
          <c:showCatName val="0"/>
          <c:showSerName val="0"/>
          <c:showPercent val="0"/>
          <c:showBubbleSize val="0"/>
        </c:dLbls>
        <c:gapWidth val="219"/>
        <c:overlap val="-27"/>
        <c:axId val="677211624"/>
        <c:axId val="677209656"/>
        <c:extLst>
          <c:ext xmlns:c15="http://schemas.microsoft.com/office/drawing/2012/chart" uri="{02D57815-91ED-43cb-92C2-25804820EDAC}">
            <c15:filteredBarSeries>
              <c15:ser>
                <c:idx val="0"/>
                <c:order val="0"/>
                <c:tx>
                  <c:strRef>
                    <c:extLst>
                      <c:ext uri="{02D57815-91ED-43cb-92C2-25804820EDAC}">
                        <c15:formulaRef>
                          <c15:sqref>'2. Trade in Services'!$A$180</c15:sqref>
                        </c15:formulaRef>
                      </c:ext>
                    </c:extLst>
                    <c:strCache>
                      <c:ptCount val="1"/>
                      <c:pt idx="0">
                        <c:v>Year</c:v>
                      </c:pt>
                    </c:strCache>
                  </c:strRef>
                </c:tx>
                <c:spPr>
                  <a:solidFill>
                    <a:schemeClr val="accent1"/>
                  </a:solidFill>
                  <a:ln>
                    <a:noFill/>
                  </a:ln>
                  <a:effectLst/>
                </c:spPr>
                <c:invertIfNegative val="0"/>
                <c:cat>
                  <c:numRef>
                    <c:extLst>
                      <c:ext uri="{02D57815-91ED-43cb-92C2-25804820EDAC}">
                        <c15:formulaRef>
                          <c15:sqref>'2. Trade in Services'!$B$180:$T$180</c15:sqref>
                        </c15:formulaRef>
                      </c:ext>
                    </c:extLst>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extLst>
                      <c:ext uri="{02D57815-91ED-43cb-92C2-25804820EDAC}">
                        <c15:formulaRef>
                          <c15:sqref>'2. Trade in Services'!$B$180:$S$180</c15:sqref>
                        </c15:formulaRef>
                      </c:ext>
                    </c:extLst>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val>
                <c:extLst>
                  <c:ext xmlns:c16="http://schemas.microsoft.com/office/drawing/2014/chart" uri="{C3380CC4-5D6E-409C-BE32-E72D297353CC}">
                    <c16:uniqueId val="{00000000-787F-4758-AAAA-2C429ADF8E1B}"/>
                  </c:ext>
                </c:extLst>
              </c15:ser>
            </c15:filteredBarSeries>
          </c:ext>
        </c:extLst>
      </c:barChart>
      <c:catAx>
        <c:axId val="677211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209656"/>
        <c:crosses val="autoZero"/>
        <c:auto val="1"/>
        <c:lblAlgn val="ctr"/>
        <c:lblOffset val="100"/>
        <c:noMultiLvlLbl val="0"/>
      </c:catAx>
      <c:valAx>
        <c:axId val="677209656"/>
        <c:scaling>
          <c:orientation val="minMax"/>
          <c:max val="1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latin typeface="Calibri" panose="020F0502020204030204" pitchFamily="34" charset="0"/>
                    <a:cs typeface="Calibri" panose="020F0502020204030204" pitchFamily="34" charset="0"/>
                  </a:rPr>
                  <a:t>£ billion</a:t>
                </a:r>
                <a:endParaRPr lang="en-AU"/>
              </a:p>
            </c:rich>
          </c:tx>
          <c:layout>
            <c:manualLayout>
              <c:xMode val="edge"/>
              <c:yMode val="edge"/>
              <c:x val="1.2826602845620557E-2"/>
              <c:y val="0.357112996733613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211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AU" b="1">
                <a:solidFill>
                  <a:schemeClr val="tx1">
                    <a:lumMod val="85000"/>
                    <a:lumOff val="15000"/>
                  </a:schemeClr>
                </a:solidFill>
              </a:rPr>
              <a:t>UK balance of trade in</a:t>
            </a:r>
            <a:r>
              <a:rPr lang="en-AU" b="1" baseline="0">
                <a:solidFill>
                  <a:schemeClr val="tx1">
                    <a:lumMod val="85000"/>
                    <a:lumOff val="15000"/>
                  </a:schemeClr>
                </a:solidFill>
              </a:rPr>
              <a:t> goods &amp; services</a:t>
            </a:r>
            <a:r>
              <a:rPr lang="en-AU" b="1">
                <a:solidFill>
                  <a:schemeClr val="tx1">
                    <a:lumMod val="85000"/>
                    <a:lumOff val="15000"/>
                  </a:schemeClr>
                </a:solidFill>
              </a:rPr>
              <a:t> with EU and non-EU countries</a:t>
            </a:r>
            <a:r>
              <a:rPr lang="en-AU" b="1" baseline="0">
                <a:solidFill>
                  <a:schemeClr val="tx1">
                    <a:lumMod val="85000"/>
                    <a:lumOff val="15000"/>
                  </a:schemeClr>
                </a:solidFill>
              </a:rPr>
              <a:t>: 2017</a:t>
            </a:r>
            <a:r>
              <a:rPr lang="en-AU" b="1">
                <a:solidFill>
                  <a:schemeClr val="tx1">
                    <a:lumMod val="85000"/>
                    <a:lumOff val="15000"/>
                  </a:schemeClr>
                </a:solidFill>
              </a:rPr>
              <a:t>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0.1191673218850538"/>
          <c:y val="0.24127491639511447"/>
          <c:w val="0.82698047513866513"/>
          <c:h val="0.47707998135577112"/>
        </c:manualLayout>
      </c:layout>
      <c:barChart>
        <c:barDir val="bar"/>
        <c:grouping val="stacked"/>
        <c:varyColors val="0"/>
        <c:ser>
          <c:idx val="0"/>
          <c:order val="0"/>
          <c:tx>
            <c:strRef>
              <c:f>'1. All Trade'!$F$7</c:f>
              <c:strCache>
                <c:ptCount val="1"/>
                <c:pt idx="0">
                  <c:v>Goods balance (£bn)</c:v>
                </c:pt>
              </c:strCache>
            </c:strRef>
          </c:tx>
          <c:spPr>
            <a:solidFill>
              <a:srgbClr val="C00000"/>
            </a:solidFill>
            <a:ln w="12700">
              <a:solidFill>
                <a:srgbClr val="990000"/>
              </a:solidFill>
            </a:ln>
            <a:effectLst/>
          </c:spPr>
          <c:invertIfNegative val="0"/>
          <c:dLbls>
            <c:dLbl>
              <c:idx val="0"/>
              <c:tx>
                <c:rich>
                  <a:bodyPr/>
                  <a:lstStyle/>
                  <a:p>
                    <a:fld id="{2133B6D8-CCF9-4CA0-B2FD-4C8CD802A6E0}" type="VALUE">
                      <a:rPr lang="en-US"/>
                      <a:pPr/>
                      <a:t>[VALUE]</a:t>
                    </a:fld>
                    <a:r>
                      <a:rPr lang="en-US"/>
                      <a:t> bn</a:t>
                    </a:r>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72C-45E2-9130-0214909A1C56}"/>
                </c:ext>
              </c:extLst>
            </c:dLbl>
            <c:dLbl>
              <c:idx val="1"/>
              <c:tx>
                <c:rich>
                  <a:bodyPr/>
                  <a:lstStyle/>
                  <a:p>
                    <a:fld id="{444EAB32-007A-4A06-AD19-2E551F7D4F56}" type="VALUE">
                      <a:rPr lang="en-US"/>
                      <a:pPr/>
                      <a:t>[VALUE]</a:t>
                    </a:fld>
                    <a:r>
                      <a:rPr lang="en-US"/>
                      <a:t> bn</a:t>
                    </a:r>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72C-45E2-9130-0214909A1C56}"/>
                </c:ext>
              </c:extLst>
            </c:dLbl>
            <c:numFmt formatCode="[$£-809]#,##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Trade'!$G$6:$H$6</c:f>
              <c:strCache>
                <c:ptCount val="2"/>
                <c:pt idx="0">
                  <c:v>EU</c:v>
                </c:pt>
                <c:pt idx="1">
                  <c:v>Non-EU</c:v>
                </c:pt>
              </c:strCache>
            </c:strRef>
          </c:cat>
          <c:val>
            <c:numRef>
              <c:f>'1. All Trade'!$G$7:$H$7</c:f>
              <c:numCache>
                <c:formatCode>_-[$£-809]* #,##0.0_-;\-[$£-809]* #,##0.0_-;_-[$£-809]* "-"??_-;_-@_-</c:formatCode>
                <c:ptCount val="2"/>
                <c:pt idx="0">
                  <c:v>-94.725999999999999</c:v>
                </c:pt>
                <c:pt idx="1">
                  <c:v>-42.308999999999997</c:v>
                </c:pt>
              </c:numCache>
            </c:numRef>
          </c:val>
          <c:extLst>
            <c:ext xmlns:c16="http://schemas.microsoft.com/office/drawing/2014/chart" uri="{C3380CC4-5D6E-409C-BE32-E72D297353CC}">
              <c16:uniqueId val="{00000000-F72C-45E2-9130-0214909A1C56}"/>
            </c:ext>
          </c:extLst>
        </c:ser>
        <c:ser>
          <c:idx val="1"/>
          <c:order val="1"/>
          <c:tx>
            <c:strRef>
              <c:f>'1. All Trade'!$F$8</c:f>
              <c:strCache>
                <c:ptCount val="1"/>
                <c:pt idx="0">
                  <c:v>Services balance (£bn)</c:v>
                </c:pt>
              </c:strCache>
            </c:strRef>
          </c:tx>
          <c:spPr>
            <a:solidFill>
              <a:srgbClr val="002060"/>
            </a:solidFill>
            <a:ln w="12700">
              <a:solidFill>
                <a:sysClr val="windowText" lastClr="000000"/>
              </a:solidFill>
            </a:ln>
            <a:effectLst/>
          </c:spPr>
          <c:invertIfNegative val="0"/>
          <c:dPt>
            <c:idx val="0"/>
            <c:invertIfNegative val="0"/>
            <c:bubble3D val="0"/>
            <c:spPr>
              <a:solidFill>
                <a:srgbClr val="002060"/>
              </a:solidFill>
              <a:ln w="12700">
                <a:solidFill>
                  <a:sysClr val="windowText" lastClr="000000"/>
                </a:solidFill>
              </a:ln>
              <a:effectLst/>
            </c:spPr>
            <c:extLst>
              <c:ext xmlns:c16="http://schemas.microsoft.com/office/drawing/2014/chart" uri="{C3380CC4-5D6E-409C-BE32-E72D297353CC}">
                <c16:uniqueId val="{00000005-F72C-45E2-9130-0214909A1C56}"/>
              </c:ext>
            </c:extLst>
          </c:dPt>
          <c:dPt>
            <c:idx val="1"/>
            <c:invertIfNegative val="0"/>
            <c:bubble3D val="0"/>
            <c:spPr>
              <a:solidFill>
                <a:srgbClr val="002060"/>
              </a:solidFill>
              <a:ln w="12700">
                <a:solidFill>
                  <a:sysClr val="windowText" lastClr="000000"/>
                </a:solidFill>
              </a:ln>
              <a:effectLst/>
            </c:spPr>
            <c:extLst>
              <c:ext xmlns:c16="http://schemas.microsoft.com/office/drawing/2014/chart" uri="{C3380CC4-5D6E-409C-BE32-E72D297353CC}">
                <c16:uniqueId val="{00000004-F72C-45E2-9130-0214909A1C56}"/>
              </c:ext>
            </c:extLst>
          </c:dPt>
          <c:dLbls>
            <c:dLbl>
              <c:idx val="0"/>
              <c:layout>
                <c:manualLayout>
                  <c:x val="7.7935332735581009E-4"/>
                  <c:y val="-9.5784373509014853E-17"/>
                </c:manualLayout>
              </c:layout>
              <c:tx>
                <c:rich>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fld id="{CE568FA7-1131-47E2-8743-EEC5B15150B7}" type="VALUE">
                      <a:rPr lang="en-US"/>
                      <a:pPr>
                        <a:defRPr sz="1050" b="1">
                          <a:solidFill>
                            <a:schemeClr val="bg1"/>
                          </a:solidFill>
                        </a:defRPr>
                      </a:pPr>
                      <a:t>[VALUE]</a:t>
                    </a:fld>
                    <a:r>
                      <a:rPr lang="en-US"/>
                      <a:t> bn</a:t>
                    </a:r>
                  </a:p>
                </c:rich>
              </c:tx>
              <c:numFmt formatCode="[$£-809]#,##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F72C-45E2-9130-0214909A1C56}"/>
                </c:ext>
              </c:extLst>
            </c:dLbl>
            <c:dLbl>
              <c:idx val="1"/>
              <c:layout>
                <c:manualLayout>
                  <c:x val="0.12218909511686941"/>
                  <c:y val="0"/>
                </c:manualLayout>
              </c:layout>
              <c:tx>
                <c:rich>
                  <a:bodyPr/>
                  <a:lstStyle/>
                  <a:p>
                    <a:r>
                      <a:rPr lang="en-US"/>
                      <a:t>£</a:t>
                    </a:r>
                    <a:fld id="{D8FBB885-DACE-44DA-A6C2-7A753A18AFEC}" type="VALUE">
                      <a:rPr lang="en-US"/>
                      <a:pPr/>
                      <a:t>[VALUE]</a:t>
                    </a:fld>
                    <a:r>
                      <a:rPr lang="en-US"/>
                      <a:t> bn</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F72C-45E2-9130-0214909A1C56}"/>
                </c:ext>
              </c:extLst>
            </c:dLbl>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Trade'!$G$6:$H$6</c:f>
              <c:strCache>
                <c:ptCount val="2"/>
                <c:pt idx="0">
                  <c:v>EU</c:v>
                </c:pt>
                <c:pt idx="1">
                  <c:v>Non-EU</c:v>
                </c:pt>
              </c:strCache>
            </c:strRef>
          </c:cat>
          <c:val>
            <c:numRef>
              <c:f>'1. All Trade'!$G$8:$H$8</c:f>
              <c:numCache>
                <c:formatCode>_-[$£-809]* #,##0.0_-;\-[$£-809]* #,##0.0_-;_-[$£-809]* "-"??_-;_-@_-</c:formatCode>
                <c:ptCount val="2"/>
                <c:pt idx="0">
                  <c:v>36.433999999999997</c:v>
                </c:pt>
                <c:pt idx="1">
                  <c:v>77.86099999999999</c:v>
                </c:pt>
              </c:numCache>
            </c:numRef>
          </c:val>
          <c:extLst>
            <c:ext xmlns:c16="http://schemas.microsoft.com/office/drawing/2014/chart" uri="{C3380CC4-5D6E-409C-BE32-E72D297353CC}">
              <c16:uniqueId val="{00000001-F72C-45E2-9130-0214909A1C56}"/>
            </c:ext>
          </c:extLst>
        </c:ser>
        <c:dLbls>
          <c:dLblPos val="inBase"/>
          <c:showLegendKey val="0"/>
          <c:showVal val="1"/>
          <c:showCatName val="0"/>
          <c:showSerName val="0"/>
          <c:showPercent val="0"/>
          <c:showBubbleSize val="0"/>
        </c:dLbls>
        <c:gapWidth val="90"/>
        <c:overlap val="100"/>
        <c:axId val="611845080"/>
        <c:axId val="611839832"/>
      </c:barChart>
      <c:catAx>
        <c:axId val="61184508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bg2">
                    <a:lumMod val="25000"/>
                  </a:schemeClr>
                </a:solidFill>
                <a:latin typeface="+mn-lt"/>
                <a:ea typeface="+mn-ea"/>
                <a:cs typeface="+mn-cs"/>
              </a:defRPr>
            </a:pPr>
            <a:endParaRPr lang="en-US"/>
          </a:p>
        </c:txPr>
        <c:crossAx val="611839832"/>
        <c:crosses val="autoZero"/>
        <c:auto val="1"/>
        <c:lblAlgn val="ctr"/>
        <c:lblOffset val="100"/>
        <c:noMultiLvlLbl val="0"/>
      </c:catAx>
      <c:valAx>
        <c:axId val="611839832"/>
        <c:scaling>
          <c:orientation val="minMax"/>
          <c:max val="85"/>
          <c:min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bg2">
                        <a:lumMod val="25000"/>
                      </a:schemeClr>
                    </a:solidFill>
                    <a:latin typeface="+mn-lt"/>
                    <a:ea typeface="+mn-ea"/>
                    <a:cs typeface="+mn-cs"/>
                  </a:defRPr>
                </a:pPr>
                <a:r>
                  <a:rPr lang="en-AU" b="1">
                    <a:solidFill>
                      <a:schemeClr val="bg2">
                        <a:lumMod val="25000"/>
                      </a:schemeClr>
                    </a:solidFill>
                  </a:rPr>
                  <a:t>£ billion</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bg2">
                      <a:lumMod val="25000"/>
                    </a:schemeClr>
                  </a:solidFill>
                  <a:latin typeface="+mn-lt"/>
                  <a:ea typeface="+mn-ea"/>
                  <a:cs typeface="+mn-cs"/>
                </a:defRPr>
              </a:pPr>
              <a:endParaRPr lang="en-US"/>
            </a:p>
          </c:txPr>
        </c:title>
        <c:numFmt formatCode="_-[$£-809]* #,##0_-;\-[$£-809]* #,##0_-;_-[$£-809]*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85000"/>
                    <a:lumOff val="15000"/>
                  </a:schemeClr>
                </a:solidFill>
                <a:latin typeface="+mn-lt"/>
                <a:ea typeface="+mn-ea"/>
                <a:cs typeface="+mn-cs"/>
              </a:defRPr>
            </a:pPr>
            <a:endParaRPr lang="en-US"/>
          </a:p>
        </c:txPr>
        <c:crossAx val="611845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85000"/>
                  <a:lumOff val="1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a:t>UK Export of Services to EU &amp;</a:t>
            </a:r>
            <a:r>
              <a:rPr lang="en-AU" b="1" baseline="0"/>
              <a:t> non-EU countries (bn)</a:t>
            </a:r>
            <a:r>
              <a:rPr lang="en-AU" b="1"/>
              <a:t>:</a:t>
            </a:r>
            <a:r>
              <a:rPr lang="en-AU" b="1" baseline="0"/>
              <a:t> 2016</a:t>
            </a:r>
            <a:endParaRPr lang="en-AU" b="1"/>
          </a:p>
        </c:rich>
      </c:tx>
      <c:layout>
        <c:manualLayout>
          <c:xMode val="edge"/>
          <c:yMode val="edge"/>
          <c:x val="0.15381742738589207"/>
          <c:y val="5.978947368421052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40443036384538E-2"/>
          <c:y val="0.15316605696950772"/>
          <c:w val="0.85947964673707122"/>
          <c:h val="0.47946665804351463"/>
        </c:manualLayout>
      </c:layout>
      <c:barChart>
        <c:barDir val="bar"/>
        <c:grouping val="stacked"/>
        <c:varyColors val="0"/>
        <c:ser>
          <c:idx val="0"/>
          <c:order val="0"/>
          <c:tx>
            <c:strRef>
              <c:f>'2. Trade in Services'!$A$14</c:f>
              <c:strCache>
                <c:ptCount val="1"/>
                <c:pt idx="0">
                  <c:v>Other business services</c:v>
                </c:pt>
              </c:strCache>
            </c:strRef>
          </c:tx>
          <c:spPr>
            <a:solidFill>
              <a:schemeClr val="accent1">
                <a:lumMod val="50000"/>
              </a:schemeClr>
            </a:solidFill>
            <a:ln w="12700">
              <a:solidFill>
                <a:srgbClr val="001C5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Services'!$B$14:$C$14</c:f>
              <c:numCache>
                <c:formatCode>_-[$£-809]* #,##0.0_-;\-[$£-809]* #,##0.0_-;_-[$£-809]* "-"??_-;_-@_-</c:formatCode>
                <c:ptCount val="2"/>
                <c:pt idx="0">
                  <c:v>23.7</c:v>
                </c:pt>
                <c:pt idx="1">
                  <c:v>42.349999999999994</c:v>
                </c:pt>
              </c:numCache>
            </c:numRef>
          </c:val>
          <c:extLst>
            <c:ext xmlns:c16="http://schemas.microsoft.com/office/drawing/2014/chart" uri="{C3380CC4-5D6E-409C-BE32-E72D297353CC}">
              <c16:uniqueId val="{00000000-C97F-446E-8445-B9F453A9E1BA}"/>
            </c:ext>
          </c:extLst>
        </c:ser>
        <c:ser>
          <c:idx val="1"/>
          <c:order val="1"/>
          <c:tx>
            <c:strRef>
              <c:f>'2. Trade in Services'!$A$15</c:f>
              <c:strCache>
                <c:ptCount val="1"/>
                <c:pt idx="0">
                  <c:v>Financial services</c:v>
                </c:pt>
              </c:strCache>
            </c:strRef>
          </c:tx>
          <c:spPr>
            <a:solidFill>
              <a:srgbClr val="C00000"/>
            </a:solidFill>
            <a:ln w="12700">
              <a:solidFill>
                <a:srgbClr val="6633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Services'!$B$15:$C$15</c:f>
              <c:numCache>
                <c:formatCode>_-[$£-809]* #,##0.0_-;\-[$£-809]* #,##0.0_-;_-[$£-809]* "-"??_-;_-@_-</c:formatCode>
                <c:ptCount val="2"/>
                <c:pt idx="0">
                  <c:v>27.021000000000001</c:v>
                </c:pt>
                <c:pt idx="1">
                  <c:v>34.362000000000002</c:v>
                </c:pt>
              </c:numCache>
            </c:numRef>
          </c:val>
          <c:extLst>
            <c:ext xmlns:c16="http://schemas.microsoft.com/office/drawing/2014/chart" uri="{C3380CC4-5D6E-409C-BE32-E72D297353CC}">
              <c16:uniqueId val="{00000001-C97F-446E-8445-B9F453A9E1BA}"/>
            </c:ext>
          </c:extLst>
        </c:ser>
        <c:ser>
          <c:idx val="2"/>
          <c:order val="2"/>
          <c:tx>
            <c:strRef>
              <c:f>'2. Trade in Services'!$A$16</c:f>
              <c:strCache>
                <c:ptCount val="1"/>
                <c:pt idx="0">
                  <c:v>Travel</c:v>
                </c:pt>
              </c:strCache>
            </c:strRef>
          </c:tx>
          <c:spPr>
            <a:solidFill>
              <a:schemeClr val="accent1">
                <a:lumMod val="75000"/>
              </a:schemeClr>
            </a:solidFill>
            <a:ln w="12700">
              <a:solidFill>
                <a:schemeClr val="tx1">
                  <a:lumMod val="75000"/>
                  <a:lumOff val="2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Services'!$B$16:$C$16</c:f>
              <c:numCache>
                <c:formatCode>_-[$£-809]* #,##0.0_-;\-[$£-809]* #,##0.0_-;_-[$£-809]* "-"??_-;_-@_-</c:formatCode>
                <c:ptCount val="2"/>
                <c:pt idx="0">
                  <c:v>14.762</c:v>
                </c:pt>
                <c:pt idx="1">
                  <c:v>15.994</c:v>
                </c:pt>
              </c:numCache>
            </c:numRef>
          </c:val>
          <c:extLst>
            <c:ext xmlns:c16="http://schemas.microsoft.com/office/drawing/2014/chart" uri="{C3380CC4-5D6E-409C-BE32-E72D297353CC}">
              <c16:uniqueId val="{00000002-C97F-446E-8445-B9F453A9E1BA}"/>
            </c:ext>
          </c:extLst>
        </c:ser>
        <c:ser>
          <c:idx val="3"/>
          <c:order val="3"/>
          <c:tx>
            <c:strRef>
              <c:f>'2. Trade in Services'!$A$17</c:f>
              <c:strCache>
                <c:ptCount val="1"/>
                <c:pt idx="0">
                  <c:v>Transportation</c:v>
                </c:pt>
              </c:strCache>
            </c:strRef>
          </c:tx>
          <c:spPr>
            <a:solidFill>
              <a:srgbClr val="F24848"/>
            </a:solidFill>
            <a:ln w="12700">
              <a:solidFill>
                <a:srgbClr val="990000"/>
              </a:solidFill>
            </a:ln>
            <a:effectLst/>
          </c:spPr>
          <c:invertIfNegative val="0"/>
          <c:dLbls>
            <c:dLbl>
              <c:idx val="0"/>
              <c:layout>
                <c:manualLayout>
                  <c:x val="-1.7288807348641597E-3"/>
                  <c:y val="-6.576833994758705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7F-446E-8445-B9F453A9E1BA}"/>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Services'!$B$17:$C$17</c:f>
              <c:numCache>
                <c:formatCode>_-[$£-809]* #,##0.00_-;\-[$£-809]* #,##0.00_-;_-[$£-809]* "-"??_-;_-@_-</c:formatCode>
                <c:ptCount val="2"/>
                <c:pt idx="0" formatCode="_-[$£-809]* #,##0.0_-;\-[$£-809]* #,##0.0_-;_-[$£-809]* &quot;-&quot;??_-;_-@_-">
                  <c:v>5.5720000000000001</c:v>
                </c:pt>
                <c:pt idx="1">
                  <c:v>20.378</c:v>
                </c:pt>
              </c:numCache>
            </c:numRef>
          </c:val>
          <c:extLst>
            <c:ext xmlns:c16="http://schemas.microsoft.com/office/drawing/2014/chart" uri="{C3380CC4-5D6E-409C-BE32-E72D297353CC}">
              <c16:uniqueId val="{00000004-C97F-446E-8445-B9F453A9E1BA}"/>
            </c:ext>
          </c:extLst>
        </c:ser>
        <c:ser>
          <c:idx val="4"/>
          <c:order val="4"/>
          <c:tx>
            <c:strRef>
              <c:f>'2. Trade in Services'!$A$18</c:f>
              <c:strCache>
                <c:ptCount val="1"/>
                <c:pt idx="0">
                  <c:v>Telecomunications, computers and IT</c:v>
                </c:pt>
              </c:strCache>
            </c:strRef>
          </c:tx>
          <c:spPr>
            <a:solidFill>
              <a:schemeClr val="accent1">
                <a:lumMod val="60000"/>
                <a:lumOff val="40000"/>
              </a:schemeClr>
            </a:solidFill>
            <a:ln w="12700">
              <a:solidFill>
                <a:schemeClr val="accent5">
                  <a:lumMod val="75000"/>
                </a:schemeClr>
              </a:solid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5-C97F-446E-8445-B9F453A9E1BA}"/>
                </c:ext>
              </c:extLst>
            </c:dLbl>
            <c:dLbl>
              <c:idx val="1"/>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6-C97F-446E-8445-B9F453A9E1BA}"/>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Services'!$B$18:$C$18</c:f>
              <c:numCache>
                <c:formatCode>_-[$£-809]* #,##0.0_-;\-[$£-809]* #,##0.0_-;_-[$£-809]* "-"??_-;_-@_-</c:formatCode>
                <c:ptCount val="2"/>
                <c:pt idx="0">
                  <c:v>8.3949999999999996</c:v>
                </c:pt>
                <c:pt idx="1">
                  <c:v>10.641000000000002</c:v>
                </c:pt>
              </c:numCache>
            </c:numRef>
          </c:val>
          <c:extLst>
            <c:ext xmlns:c16="http://schemas.microsoft.com/office/drawing/2014/chart" uri="{C3380CC4-5D6E-409C-BE32-E72D297353CC}">
              <c16:uniqueId val="{00000007-C97F-446E-8445-B9F453A9E1BA}"/>
            </c:ext>
          </c:extLst>
        </c:ser>
        <c:ser>
          <c:idx val="5"/>
          <c:order val="5"/>
          <c:tx>
            <c:strRef>
              <c:f>'2. Trade in Services'!$A$19</c:f>
              <c:strCache>
                <c:ptCount val="1"/>
                <c:pt idx="0">
                  <c:v>Insurance and pension</c:v>
                </c:pt>
              </c:strCache>
            </c:strRef>
          </c:tx>
          <c:spPr>
            <a:solidFill>
              <a:srgbClr val="FF832F"/>
            </a:solidFill>
            <a:ln w="12700">
              <a:solidFill>
                <a:srgbClr val="0C5A06"/>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C97F-446E-8445-B9F453A9E1BA}"/>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Services'!$B$19:$C$19</c:f>
              <c:numCache>
                <c:formatCode>_-[$£-809]* #,##0.0_-;\-[$£-809]* #,##0.0_-;_-[$£-809]* "-"??_-;_-@_-</c:formatCode>
                <c:ptCount val="2"/>
                <c:pt idx="0">
                  <c:v>1.7010000000000001</c:v>
                </c:pt>
                <c:pt idx="1">
                  <c:v>15.928999999999998</c:v>
                </c:pt>
              </c:numCache>
            </c:numRef>
          </c:val>
          <c:extLst>
            <c:ext xmlns:c16="http://schemas.microsoft.com/office/drawing/2014/chart" uri="{C3380CC4-5D6E-409C-BE32-E72D297353CC}">
              <c16:uniqueId val="{00000009-C97F-446E-8445-B9F453A9E1BA}"/>
            </c:ext>
          </c:extLst>
        </c:ser>
        <c:ser>
          <c:idx val="6"/>
          <c:order val="6"/>
          <c:tx>
            <c:strRef>
              <c:f>'2. Trade in Services'!$A$20</c:f>
              <c:strCache>
                <c:ptCount val="1"/>
                <c:pt idx="0">
                  <c:v>Intellectual property</c:v>
                </c:pt>
              </c:strCache>
            </c:strRef>
          </c:tx>
          <c:spPr>
            <a:solidFill>
              <a:schemeClr val="accent1">
                <a:lumMod val="20000"/>
                <a:lumOff val="80000"/>
              </a:schemeClr>
            </a:solidFill>
            <a:ln w="12700">
              <a:solidFill>
                <a:srgbClr val="001C54"/>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C97F-446E-8445-B9F453A9E1BA}"/>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Services'!$B$20:$C$20</c:f>
              <c:numCache>
                <c:formatCode>_-[$£-809]* #,##0.0_-;\-[$£-809]* #,##0.0_-;_-[$£-809]* "-"??_-;_-@_-</c:formatCode>
                <c:ptCount val="2"/>
                <c:pt idx="0">
                  <c:v>4.915</c:v>
                </c:pt>
                <c:pt idx="1">
                  <c:v>7.7339999999999991</c:v>
                </c:pt>
              </c:numCache>
            </c:numRef>
          </c:val>
          <c:extLst>
            <c:ext xmlns:c16="http://schemas.microsoft.com/office/drawing/2014/chart" uri="{C3380CC4-5D6E-409C-BE32-E72D297353CC}">
              <c16:uniqueId val="{0000000B-C97F-446E-8445-B9F453A9E1BA}"/>
            </c:ext>
          </c:extLst>
        </c:ser>
        <c:ser>
          <c:idx val="7"/>
          <c:order val="7"/>
          <c:tx>
            <c:strRef>
              <c:f>'2. Trade in Services'!$A$21</c:f>
              <c:strCache>
                <c:ptCount val="1"/>
                <c:pt idx="0">
                  <c:v>Personal cultural and recreational</c:v>
                </c:pt>
              </c:strCache>
            </c:strRef>
          </c:tx>
          <c:spPr>
            <a:solidFill>
              <a:schemeClr val="accent2">
                <a:lumMod val="60000"/>
              </a:schemeClr>
            </a:solidFill>
            <a:ln w="12700">
              <a:solidFill>
                <a:srgbClr val="663300"/>
              </a:solidFill>
            </a:ln>
            <a:effectLst/>
          </c:spPr>
          <c:invertIfNegative val="0"/>
          <c:dLbls>
            <c:delete val="1"/>
          </c:dLbls>
          <c:cat>
            <c:strRef>
              <c:f>'2. Trade in Services'!$B$13:$C$13</c:f>
              <c:strCache>
                <c:ptCount val="2"/>
                <c:pt idx="0">
                  <c:v> EU </c:v>
                </c:pt>
                <c:pt idx="1">
                  <c:v> Non-EU </c:v>
                </c:pt>
              </c:strCache>
            </c:strRef>
          </c:cat>
          <c:val>
            <c:numRef>
              <c:f>'2. Trade in Services'!$B$21:$C$21</c:f>
              <c:numCache>
                <c:formatCode>_-[$£-809]* #,##0.0_-;\-[$£-809]* #,##0.0_-;_-[$£-809]* "-"??_-;_-@_-</c:formatCode>
                <c:ptCount val="2"/>
                <c:pt idx="0">
                  <c:v>1.048</c:v>
                </c:pt>
                <c:pt idx="1">
                  <c:v>2.5829999999999997</c:v>
                </c:pt>
              </c:numCache>
            </c:numRef>
          </c:val>
          <c:extLst>
            <c:ext xmlns:c16="http://schemas.microsoft.com/office/drawing/2014/chart" uri="{C3380CC4-5D6E-409C-BE32-E72D297353CC}">
              <c16:uniqueId val="{0000000C-C97F-446E-8445-B9F453A9E1BA}"/>
            </c:ext>
          </c:extLst>
        </c:ser>
        <c:ser>
          <c:idx val="8"/>
          <c:order val="8"/>
          <c:tx>
            <c:strRef>
              <c:f>'2. Trade in Services'!$A$22</c:f>
              <c:strCache>
                <c:ptCount val="1"/>
                <c:pt idx="0">
                  <c:v>Government Services</c:v>
                </c:pt>
              </c:strCache>
            </c:strRef>
          </c:tx>
          <c:spPr>
            <a:solidFill>
              <a:schemeClr val="accent3">
                <a:lumMod val="60000"/>
              </a:schemeClr>
            </a:solidFill>
            <a:ln w="12700">
              <a:solidFill>
                <a:schemeClr val="tx1">
                  <a:lumMod val="95000"/>
                  <a:lumOff val="5000"/>
                </a:schemeClr>
              </a:solidFill>
            </a:ln>
            <a:effectLst/>
          </c:spPr>
          <c:invertIfNegative val="0"/>
          <c:dLbls>
            <c:delete val="1"/>
          </c:dLbls>
          <c:cat>
            <c:strRef>
              <c:f>'2. Trade in Services'!$B$13:$C$13</c:f>
              <c:strCache>
                <c:ptCount val="2"/>
                <c:pt idx="0">
                  <c:v> EU </c:v>
                </c:pt>
                <c:pt idx="1">
                  <c:v> Non-EU </c:v>
                </c:pt>
              </c:strCache>
            </c:strRef>
          </c:cat>
          <c:val>
            <c:numRef>
              <c:f>'2. Trade in Services'!$B$22:$C$22</c:f>
              <c:numCache>
                <c:formatCode>_-[$£-809]* #,##0.0_-;\-[$£-809]* #,##0.0_-;_-[$£-809]* "-"??_-;_-@_-</c:formatCode>
                <c:ptCount val="2"/>
                <c:pt idx="0">
                  <c:v>0.54</c:v>
                </c:pt>
                <c:pt idx="1">
                  <c:v>2.028</c:v>
                </c:pt>
              </c:numCache>
            </c:numRef>
          </c:val>
          <c:extLst>
            <c:ext xmlns:c16="http://schemas.microsoft.com/office/drawing/2014/chart" uri="{C3380CC4-5D6E-409C-BE32-E72D297353CC}">
              <c16:uniqueId val="{0000000D-C97F-446E-8445-B9F453A9E1BA}"/>
            </c:ext>
          </c:extLst>
        </c:ser>
        <c:ser>
          <c:idx val="9"/>
          <c:order val="9"/>
          <c:tx>
            <c:strRef>
              <c:f>'2. Trade in Services'!$A$23</c:f>
              <c:strCache>
                <c:ptCount val="1"/>
                <c:pt idx="0">
                  <c:v>Manufacturing Services</c:v>
                </c:pt>
              </c:strCache>
            </c:strRef>
          </c:tx>
          <c:spPr>
            <a:solidFill>
              <a:schemeClr val="accent4">
                <a:lumMod val="60000"/>
              </a:schemeClr>
            </a:solidFill>
            <a:ln w="12700">
              <a:solidFill>
                <a:srgbClr val="663300"/>
              </a:solidFill>
            </a:ln>
            <a:effectLst/>
          </c:spPr>
          <c:invertIfNegative val="0"/>
          <c:dLbls>
            <c:delete val="1"/>
          </c:dLbls>
          <c:cat>
            <c:strRef>
              <c:f>'2. Trade in Services'!$B$13:$C$13</c:f>
              <c:strCache>
                <c:ptCount val="2"/>
                <c:pt idx="0">
                  <c:v> EU </c:v>
                </c:pt>
                <c:pt idx="1">
                  <c:v> Non-EU </c:v>
                </c:pt>
              </c:strCache>
            </c:strRef>
          </c:cat>
          <c:val>
            <c:numRef>
              <c:f>'2. Trade in Services'!$B$23:$C$23</c:f>
              <c:numCache>
                <c:formatCode>_-[$£-809]* #,##0.0_-;\-[$£-809]* #,##0.0_-;_-[$£-809]* "-"??_-;_-@_-</c:formatCode>
                <c:ptCount val="2"/>
                <c:pt idx="0">
                  <c:v>1.0469999999999999</c:v>
                </c:pt>
                <c:pt idx="1">
                  <c:v>1.0469999999999999</c:v>
                </c:pt>
              </c:numCache>
            </c:numRef>
          </c:val>
          <c:extLst>
            <c:ext xmlns:c16="http://schemas.microsoft.com/office/drawing/2014/chart" uri="{C3380CC4-5D6E-409C-BE32-E72D297353CC}">
              <c16:uniqueId val="{0000000E-C97F-446E-8445-B9F453A9E1BA}"/>
            </c:ext>
          </c:extLst>
        </c:ser>
        <c:ser>
          <c:idx val="10"/>
          <c:order val="10"/>
          <c:tx>
            <c:strRef>
              <c:f>'2. Trade in Services'!$A$24</c:f>
              <c:strCache>
                <c:ptCount val="1"/>
                <c:pt idx="0">
                  <c:v>Maintenance Services</c:v>
                </c:pt>
              </c:strCache>
            </c:strRef>
          </c:tx>
          <c:spPr>
            <a:solidFill>
              <a:schemeClr val="accent5">
                <a:lumMod val="60000"/>
              </a:schemeClr>
            </a:solidFill>
            <a:ln w="12700">
              <a:solidFill>
                <a:srgbClr val="001C54"/>
              </a:solidFill>
            </a:ln>
            <a:effectLst/>
          </c:spPr>
          <c:invertIfNegative val="0"/>
          <c:dLbls>
            <c:delete val="1"/>
          </c:dLbls>
          <c:cat>
            <c:strRef>
              <c:f>'2. Trade in Services'!$B$13:$C$13</c:f>
              <c:strCache>
                <c:ptCount val="2"/>
                <c:pt idx="0">
                  <c:v> EU </c:v>
                </c:pt>
                <c:pt idx="1">
                  <c:v> Non-EU </c:v>
                </c:pt>
              </c:strCache>
            </c:strRef>
          </c:cat>
          <c:val>
            <c:numRef>
              <c:f>'2. Trade in Services'!$B$24:$C$24</c:f>
              <c:numCache>
                <c:formatCode>_-[$£-809]* #,##0.0_-;\-[$£-809]* #,##0.0_-;_-[$£-809]* "-"??_-;_-@_-</c:formatCode>
                <c:ptCount val="2"/>
                <c:pt idx="0">
                  <c:v>0.9355</c:v>
                </c:pt>
                <c:pt idx="1">
                  <c:v>0.9355</c:v>
                </c:pt>
              </c:numCache>
            </c:numRef>
          </c:val>
          <c:extLst>
            <c:ext xmlns:c16="http://schemas.microsoft.com/office/drawing/2014/chart" uri="{C3380CC4-5D6E-409C-BE32-E72D297353CC}">
              <c16:uniqueId val="{0000000F-C97F-446E-8445-B9F453A9E1BA}"/>
            </c:ext>
          </c:extLst>
        </c:ser>
        <c:ser>
          <c:idx val="11"/>
          <c:order val="11"/>
          <c:tx>
            <c:strRef>
              <c:f>'2. Trade in Services'!$A$25</c:f>
              <c:strCache>
                <c:ptCount val="1"/>
                <c:pt idx="0">
                  <c:v>Construction</c:v>
                </c:pt>
              </c:strCache>
            </c:strRef>
          </c:tx>
          <c:spPr>
            <a:solidFill>
              <a:schemeClr val="accent6">
                <a:lumMod val="60000"/>
              </a:schemeClr>
            </a:solidFill>
            <a:ln w="12700">
              <a:solidFill>
                <a:srgbClr val="062B03"/>
              </a:solidFill>
            </a:ln>
            <a:effectLst/>
          </c:spPr>
          <c:invertIfNegative val="0"/>
          <c:dLbls>
            <c:delete val="1"/>
          </c:dLbls>
          <c:cat>
            <c:strRef>
              <c:f>'2. Trade in Services'!$B$13:$C$13</c:f>
              <c:strCache>
                <c:ptCount val="2"/>
                <c:pt idx="0">
                  <c:v> EU </c:v>
                </c:pt>
                <c:pt idx="1">
                  <c:v> Non-EU </c:v>
                </c:pt>
              </c:strCache>
            </c:strRef>
          </c:cat>
          <c:val>
            <c:numRef>
              <c:f>'2. Trade in Services'!$B$25:$C$25</c:f>
              <c:numCache>
                <c:formatCode>_-[$£-809]* #,##0.0_-;\-[$£-809]* #,##0.0_-;_-[$£-809]* "-"??_-;_-@_-</c:formatCode>
                <c:ptCount val="2"/>
                <c:pt idx="0">
                  <c:v>0.82199999999999995</c:v>
                </c:pt>
                <c:pt idx="1">
                  <c:v>0.96499999999999997</c:v>
                </c:pt>
              </c:numCache>
            </c:numRef>
          </c:val>
          <c:extLst>
            <c:ext xmlns:c16="http://schemas.microsoft.com/office/drawing/2014/chart" uri="{C3380CC4-5D6E-409C-BE32-E72D297353CC}">
              <c16:uniqueId val="{00000010-C97F-446E-8445-B9F453A9E1BA}"/>
            </c:ext>
          </c:extLst>
        </c:ser>
        <c:dLbls>
          <c:dLblPos val="ctr"/>
          <c:showLegendKey val="0"/>
          <c:showVal val="1"/>
          <c:showCatName val="0"/>
          <c:showSerName val="0"/>
          <c:showPercent val="0"/>
          <c:showBubbleSize val="0"/>
        </c:dLbls>
        <c:gapWidth val="56"/>
        <c:overlap val="100"/>
        <c:axId val="592131296"/>
        <c:axId val="592132608"/>
      </c:barChart>
      <c:catAx>
        <c:axId val="592131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592132608"/>
        <c:crosses val="autoZero"/>
        <c:auto val="1"/>
        <c:lblAlgn val="ctr"/>
        <c:lblOffset val="100"/>
        <c:noMultiLvlLbl val="0"/>
      </c:catAx>
      <c:valAx>
        <c:axId val="592132608"/>
        <c:scaling>
          <c:orientation val="minMax"/>
          <c:max val="16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 billion</a:t>
                </a:r>
              </a:p>
            </c:rich>
          </c:tx>
          <c:layout>
            <c:manualLayout>
              <c:xMode val="edge"/>
              <c:yMode val="edge"/>
              <c:x val="0.48300540960763422"/>
              <c:y val="0.71901223483750087"/>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809]* #,##0_-;\-[$£-809]* #,##0_-;_-[$£-809]* &quot;-&quot;_-;_-@_-" sourceLinked="0"/>
        <c:majorTickMark val="none"/>
        <c:minorTickMark val="none"/>
        <c:tickLblPos val="high"/>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92131296"/>
        <c:crosses val="autoZero"/>
        <c:crossBetween val="between"/>
      </c:valAx>
      <c:spPr>
        <a:noFill/>
        <a:ln>
          <a:noFill/>
        </a:ln>
        <a:effectLst/>
      </c:spPr>
    </c:plotArea>
    <c:legend>
      <c:legendPos val="b"/>
      <c:layout>
        <c:manualLayout>
          <c:xMode val="edge"/>
          <c:yMode val="edge"/>
          <c:x val="2.9049836601307187E-2"/>
          <c:y val="0.78605685652929747"/>
          <c:w val="0.95218839001507782"/>
          <c:h val="0.2042760055403752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US" b="1">
                <a:solidFill>
                  <a:schemeClr val="tx1">
                    <a:lumMod val="85000"/>
                    <a:lumOff val="15000"/>
                  </a:schemeClr>
                </a:solidFill>
              </a:rPr>
              <a:t>UK Export of</a:t>
            </a:r>
            <a:r>
              <a:rPr lang="en-US" b="1" baseline="0">
                <a:solidFill>
                  <a:schemeClr val="tx1">
                    <a:lumMod val="85000"/>
                    <a:lumOff val="15000"/>
                  </a:schemeClr>
                </a:solidFill>
              </a:rPr>
              <a:t> Services in 2016 (bn) : Total </a:t>
            </a:r>
            <a:r>
              <a:rPr lang="en-US" b="1" baseline="0">
                <a:solidFill>
                  <a:schemeClr val="tx1">
                    <a:lumMod val="85000"/>
                    <a:lumOff val="15000"/>
                  </a:schemeClr>
                </a:solidFill>
                <a:latin typeface="Calibri" panose="020F0502020204030204" pitchFamily="34" charset="0"/>
                <a:cs typeface="Calibri" panose="020F0502020204030204" pitchFamily="34" charset="0"/>
              </a:rPr>
              <a:t>£245 bn</a:t>
            </a:r>
            <a:endParaRPr lang="en-US" b="1">
              <a:solidFill>
                <a:schemeClr val="tx1">
                  <a:lumMod val="85000"/>
                  <a:lumOff val="15000"/>
                </a:schemeClr>
              </a:solidFill>
            </a:endParaRPr>
          </a:p>
        </c:rich>
      </c:tx>
      <c:layout>
        <c:manualLayout>
          <c:xMode val="edge"/>
          <c:yMode val="edge"/>
          <c:x val="0.12636364249923107"/>
          <c:y val="5.471123310647078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3.0828563066944648E-2"/>
          <c:y val="0.16536008369282315"/>
          <c:w val="0.4745058617672791"/>
          <c:h val="0.77365108229233204"/>
        </c:manualLayout>
      </c:layout>
      <c:doughnutChart>
        <c:varyColors val="1"/>
        <c:ser>
          <c:idx val="0"/>
          <c:order val="0"/>
          <c:spPr>
            <a:ln w="12700">
              <a:solidFill>
                <a:srgbClr val="000000"/>
              </a:solidFill>
            </a:ln>
          </c:spPr>
          <c:dPt>
            <c:idx val="0"/>
            <c:bubble3D val="0"/>
            <c:spPr>
              <a:solidFill>
                <a:schemeClr val="accent1">
                  <a:lumMod val="50000"/>
                </a:schemeClr>
              </a:solidFill>
              <a:ln w="12700">
                <a:solidFill>
                  <a:srgbClr val="000000"/>
                </a:solidFill>
              </a:ln>
              <a:effectLst/>
            </c:spPr>
            <c:extLst>
              <c:ext xmlns:c16="http://schemas.microsoft.com/office/drawing/2014/chart" uri="{C3380CC4-5D6E-409C-BE32-E72D297353CC}">
                <c16:uniqueId val="{00000001-7FF9-4A4E-8917-AC23637744E8}"/>
              </c:ext>
            </c:extLst>
          </c:dPt>
          <c:dPt>
            <c:idx val="1"/>
            <c:bubble3D val="0"/>
            <c:spPr>
              <a:solidFill>
                <a:schemeClr val="accent1">
                  <a:lumMod val="75000"/>
                </a:schemeClr>
              </a:solidFill>
              <a:ln w="12700">
                <a:solidFill>
                  <a:srgbClr val="000000"/>
                </a:solidFill>
              </a:ln>
              <a:effectLst/>
            </c:spPr>
            <c:extLst>
              <c:ext xmlns:c16="http://schemas.microsoft.com/office/drawing/2014/chart" uri="{C3380CC4-5D6E-409C-BE32-E72D297353CC}">
                <c16:uniqueId val="{00000003-7FF9-4A4E-8917-AC23637744E8}"/>
              </c:ext>
            </c:extLst>
          </c:dPt>
          <c:dPt>
            <c:idx val="2"/>
            <c:bubble3D val="0"/>
            <c:spPr>
              <a:solidFill>
                <a:srgbClr val="C00000"/>
              </a:solidFill>
              <a:ln w="12700">
                <a:solidFill>
                  <a:srgbClr val="000000"/>
                </a:solidFill>
              </a:ln>
              <a:effectLst/>
            </c:spPr>
            <c:extLst>
              <c:ext xmlns:c16="http://schemas.microsoft.com/office/drawing/2014/chart" uri="{C3380CC4-5D6E-409C-BE32-E72D297353CC}">
                <c16:uniqueId val="{00000005-7FF9-4A4E-8917-AC23637744E8}"/>
              </c:ext>
            </c:extLst>
          </c:dPt>
          <c:dPt>
            <c:idx val="3"/>
            <c:bubble3D val="0"/>
            <c:spPr>
              <a:solidFill>
                <a:srgbClr val="FF9999"/>
              </a:solidFill>
              <a:ln w="12700">
                <a:solidFill>
                  <a:srgbClr val="000000"/>
                </a:solidFill>
              </a:ln>
              <a:effectLst/>
            </c:spPr>
            <c:extLst>
              <c:ext xmlns:c16="http://schemas.microsoft.com/office/drawing/2014/chart" uri="{C3380CC4-5D6E-409C-BE32-E72D297353CC}">
                <c16:uniqueId val="{00000007-7FF9-4A4E-8917-AC23637744E8}"/>
              </c:ext>
            </c:extLst>
          </c:dPt>
          <c:dPt>
            <c:idx val="4"/>
            <c:bubble3D val="0"/>
            <c:spPr>
              <a:solidFill>
                <a:schemeClr val="accent1">
                  <a:lumMod val="60000"/>
                  <a:lumOff val="40000"/>
                </a:schemeClr>
              </a:solidFill>
              <a:ln w="12700">
                <a:solidFill>
                  <a:srgbClr val="000000"/>
                </a:solidFill>
              </a:ln>
              <a:effectLst/>
            </c:spPr>
            <c:extLst>
              <c:ext xmlns:c16="http://schemas.microsoft.com/office/drawing/2014/chart" uri="{C3380CC4-5D6E-409C-BE32-E72D297353CC}">
                <c16:uniqueId val="{00000009-7FF9-4A4E-8917-AC23637744E8}"/>
              </c:ext>
            </c:extLst>
          </c:dPt>
          <c:dPt>
            <c:idx val="5"/>
            <c:bubble3D val="0"/>
            <c:spPr>
              <a:solidFill>
                <a:schemeClr val="accent1">
                  <a:lumMod val="40000"/>
                  <a:lumOff val="60000"/>
                </a:schemeClr>
              </a:solidFill>
              <a:ln w="12700">
                <a:solidFill>
                  <a:srgbClr val="000000"/>
                </a:solidFill>
              </a:ln>
              <a:effectLst/>
            </c:spPr>
            <c:extLst>
              <c:ext xmlns:c16="http://schemas.microsoft.com/office/drawing/2014/chart" uri="{C3380CC4-5D6E-409C-BE32-E72D297353CC}">
                <c16:uniqueId val="{0000000B-7FF9-4A4E-8917-AC23637744E8}"/>
              </c:ext>
            </c:extLst>
          </c:dPt>
          <c:dPt>
            <c:idx val="6"/>
            <c:bubble3D val="0"/>
            <c:spPr>
              <a:solidFill>
                <a:schemeClr val="accent1">
                  <a:lumMod val="20000"/>
                  <a:lumOff val="80000"/>
                </a:schemeClr>
              </a:solidFill>
              <a:ln w="12700">
                <a:solidFill>
                  <a:srgbClr val="000000"/>
                </a:solidFill>
              </a:ln>
              <a:effectLst/>
            </c:spPr>
            <c:extLst>
              <c:ext xmlns:c16="http://schemas.microsoft.com/office/drawing/2014/chart" uri="{C3380CC4-5D6E-409C-BE32-E72D297353CC}">
                <c16:uniqueId val="{0000000D-7FF9-4A4E-8917-AC23637744E8}"/>
              </c:ext>
            </c:extLst>
          </c:dPt>
          <c:dPt>
            <c:idx val="7"/>
            <c:bubble3D val="0"/>
            <c:spPr>
              <a:solidFill>
                <a:srgbClr val="FF0000"/>
              </a:solidFill>
              <a:ln w="12700">
                <a:solidFill>
                  <a:srgbClr val="000000"/>
                </a:solidFill>
              </a:ln>
              <a:effectLst/>
            </c:spPr>
            <c:extLst>
              <c:ext xmlns:c16="http://schemas.microsoft.com/office/drawing/2014/chart" uri="{C3380CC4-5D6E-409C-BE32-E72D297353CC}">
                <c16:uniqueId val="{0000000F-7FF9-4A4E-8917-AC23637744E8}"/>
              </c:ext>
            </c:extLst>
          </c:dPt>
          <c:dPt>
            <c:idx val="8"/>
            <c:bubble3D val="0"/>
            <c:spPr>
              <a:solidFill>
                <a:srgbClr val="046072"/>
              </a:solidFill>
              <a:ln w="12700">
                <a:solidFill>
                  <a:srgbClr val="000000"/>
                </a:solidFill>
              </a:ln>
              <a:effectLst/>
            </c:spPr>
            <c:extLst>
              <c:ext xmlns:c16="http://schemas.microsoft.com/office/drawing/2014/chart" uri="{C3380CC4-5D6E-409C-BE32-E72D297353CC}">
                <c16:uniqueId val="{00000011-7FF9-4A4E-8917-AC23637744E8}"/>
              </c:ext>
            </c:extLst>
          </c:dPt>
          <c:dPt>
            <c:idx val="9"/>
            <c:bubble3D val="0"/>
            <c:spPr>
              <a:solidFill>
                <a:srgbClr val="E7194A"/>
              </a:solidFill>
              <a:ln w="12700">
                <a:solidFill>
                  <a:srgbClr val="000000"/>
                </a:solidFill>
              </a:ln>
              <a:effectLst/>
            </c:spPr>
            <c:extLst>
              <c:ext xmlns:c16="http://schemas.microsoft.com/office/drawing/2014/chart" uri="{C3380CC4-5D6E-409C-BE32-E72D297353CC}">
                <c16:uniqueId val="{00000013-7FF9-4A4E-8917-AC23637744E8}"/>
              </c:ext>
            </c:extLst>
          </c:dPt>
          <c:dPt>
            <c:idx val="10"/>
            <c:bubble3D val="0"/>
            <c:spPr>
              <a:solidFill>
                <a:schemeClr val="accent5">
                  <a:lumMod val="60000"/>
                </a:schemeClr>
              </a:solidFill>
              <a:ln w="12700">
                <a:solidFill>
                  <a:srgbClr val="000000"/>
                </a:solidFill>
              </a:ln>
              <a:effectLst/>
            </c:spPr>
            <c:extLst>
              <c:ext xmlns:c16="http://schemas.microsoft.com/office/drawing/2014/chart" uri="{C3380CC4-5D6E-409C-BE32-E72D297353CC}">
                <c16:uniqueId val="{00000015-7FF9-4A4E-8917-AC23637744E8}"/>
              </c:ext>
            </c:extLst>
          </c:dPt>
          <c:dPt>
            <c:idx val="11"/>
            <c:bubble3D val="0"/>
            <c:spPr>
              <a:solidFill>
                <a:schemeClr val="tx1">
                  <a:lumMod val="50000"/>
                  <a:lumOff val="50000"/>
                </a:schemeClr>
              </a:solidFill>
              <a:ln w="12700">
                <a:solidFill>
                  <a:srgbClr val="000000"/>
                </a:solidFill>
              </a:ln>
              <a:effectLst/>
            </c:spPr>
            <c:extLst>
              <c:ext xmlns:c16="http://schemas.microsoft.com/office/drawing/2014/chart" uri="{C3380CC4-5D6E-409C-BE32-E72D297353CC}">
                <c16:uniqueId val="{00000017-7FF9-4A4E-8917-AC23637744E8}"/>
              </c:ext>
            </c:extLst>
          </c:dPt>
          <c:dLbls>
            <c:dLbl>
              <c:idx val="4"/>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FF9-4A4E-8917-AC23637744E8}"/>
                </c:ext>
              </c:extLst>
            </c:dLbl>
            <c:dLbl>
              <c:idx val="5"/>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FF9-4A4E-8917-AC23637744E8}"/>
                </c:ext>
              </c:extLst>
            </c:dLbl>
            <c:dLbl>
              <c:idx val="6"/>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FF9-4A4E-8917-AC23637744E8}"/>
                </c:ext>
              </c:extLst>
            </c:dLbl>
            <c:dLbl>
              <c:idx val="7"/>
              <c:layout>
                <c:manualLayout>
                  <c:x val="-1.7868957228313682E-2"/>
                  <c:y val="0"/>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7FF9-4A4E-8917-AC23637744E8}"/>
                </c:ext>
              </c:extLst>
            </c:dLbl>
            <c:dLbl>
              <c:idx val="8"/>
              <c:layout>
                <c:manualLayout>
                  <c:x val="-1.7632283464566929E-2"/>
                  <c:y val="-1.7901455499880696E-2"/>
                </c:manualLayout>
              </c:layout>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bg1"/>
                      </a:solidFill>
                      <a:latin typeface="+mn-lt"/>
                      <a:ea typeface="+mn-ea"/>
                      <a:cs typeface="+mn-cs"/>
                    </a:defRPr>
                  </a:pPr>
                  <a:endParaRPr lang="en-US"/>
                </a:p>
              </c:txPr>
              <c:showLegendKey val="0"/>
              <c:showVal val="1"/>
              <c:showCatName val="0"/>
              <c:showSerName val="0"/>
              <c:showPercent val="1"/>
              <c:showBubbleSize val="0"/>
              <c:separator>
</c:separator>
              <c:extLst>
                <c:ext xmlns:c15="http://schemas.microsoft.com/office/drawing/2012/chart" uri="{CE6537A1-D6FC-4f65-9D91-7224C49458BB}">
                  <c15:layout>
                    <c:manualLayout>
                      <c:w val="0.13863464566929132"/>
                      <c:h val="0.14058786685755192"/>
                    </c:manualLayout>
                  </c15:layout>
                </c:ext>
                <c:ext xmlns:c16="http://schemas.microsoft.com/office/drawing/2014/chart" uri="{C3380CC4-5D6E-409C-BE32-E72D297353CC}">
                  <c16:uniqueId val="{00000011-7FF9-4A4E-8917-AC23637744E8}"/>
                </c:ext>
              </c:extLst>
            </c:dLbl>
            <c:dLbl>
              <c:idx val="9"/>
              <c:layout>
                <c:manualLayout>
                  <c:x val="-7.9417587681394147E-2"/>
                  <c:y val="-6.1099786535627726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7FF9-4A4E-8917-AC23637744E8}"/>
                </c:ext>
              </c:extLst>
            </c:dLbl>
            <c:dLbl>
              <c:idx val="10"/>
              <c:layout>
                <c:manualLayout>
                  <c:x val="-6.7504949529185024E-2"/>
                  <c:y val="-0.1038696371105671"/>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7FF9-4A4E-8917-AC23637744E8}"/>
                </c:ext>
              </c:extLst>
            </c:dLbl>
            <c:dLbl>
              <c:idx val="11"/>
              <c:layout>
                <c:manualLayout>
                  <c:x val="2.0104531054774484E-4"/>
                  <c:y val="-1.8190657313428008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7-7FF9-4A4E-8917-AC23637744E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 Trade in Services'!$A$31:$A$42</c:f>
              <c:strCache>
                <c:ptCount val="12"/>
                <c:pt idx="0">
                  <c:v>Other business services to non-EU</c:v>
                </c:pt>
                <c:pt idx="1">
                  <c:v>Financial services to non-EU</c:v>
                </c:pt>
                <c:pt idx="2">
                  <c:v>Financial services to EU</c:v>
                </c:pt>
                <c:pt idx="3">
                  <c:v>Other business services to EU</c:v>
                </c:pt>
                <c:pt idx="4">
                  <c:v>Transportation to non-EU</c:v>
                </c:pt>
                <c:pt idx="5">
                  <c:v>Travel to non-EU</c:v>
                </c:pt>
                <c:pt idx="6">
                  <c:v>Insurance and pensions to non-EU</c:v>
                </c:pt>
                <c:pt idx="7">
                  <c:v>Travel to EU</c:v>
                </c:pt>
                <c:pt idx="8">
                  <c:v>Telecommunications, computers &amp; IT to non-EU</c:v>
                </c:pt>
                <c:pt idx="9">
                  <c:v>Telecommunications, computers &amp; IT to EU</c:v>
                </c:pt>
                <c:pt idx="10">
                  <c:v>Intelltectucal property to non-EU</c:v>
                </c:pt>
                <c:pt idx="11">
                  <c:v>Remainder</c:v>
                </c:pt>
              </c:strCache>
            </c:strRef>
          </c:cat>
          <c:val>
            <c:numRef>
              <c:f>'2. Trade in Services'!$B$31:$B$42</c:f>
              <c:numCache>
                <c:formatCode>_-[$£-809]* #,##0.0_-;\-[$£-809]* #,##0.0_-;_-[$£-809]* "-"??_-;_-@_-</c:formatCode>
                <c:ptCount val="12"/>
                <c:pt idx="0">
                  <c:v>42.349999999999994</c:v>
                </c:pt>
                <c:pt idx="1">
                  <c:v>34.362000000000002</c:v>
                </c:pt>
                <c:pt idx="2">
                  <c:v>27.021000000000001</c:v>
                </c:pt>
                <c:pt idx="3">
                  <c:v>23.7</c:v>
                </c:pt>
                <c:pt idx="4">
                  <c:v>20.378</c:v>
                </c:pt>
                <c:pt idx="5">
                  <c:v>15.994</c:v>
                </c:pt>
                <c:pt idx="6">
                  <c:v>15.928999999999998</c:v>
                </c:pt>
                <c:pt idx="7">
                  <c:v>14.8</c:v>
                </c:pt>
                <c:pt idx="8">
                  <c:v>10.641000000000002</c:v>
                </c:pt>
                <c:pt idx="9">
                  <c:v>8.3949999999999996</c:v>
                </c:pt>
                <c:pt idx="10">
                  <c:v>7.7339999999999991</c:v>
                </c:pt>
                <c:pt idx="11">
                  <c:v>24.100999999999999</c:v>
                </c:pt>
              </c:numCache>
            </c:numRef>
          </c:val>
          <c:extLst>
            <c:ext xmlns:c16="http://schemas.microsoft.com/office/drawing/2014/chart" uri="{C3380CC4-5D6E-409C-BE32-E72D297353CC}">
              <c16:uniqueId val="{00000018-7FF9-4A4E-8917-AC23637744E8}"/>
            </c:ext>
          </c:extLst>
        </c:ser>
        <c:dLbls>
          <c:showLegendKey val="0"/>
          <c:showVal val="0"/>
          <c:showCatName val="0"/>
          <c:showSerName val="0"/>
          <c:showPercent val="1"/>
          <c:showBubbleSize val="0"/>
          <c:showLeaderLines val="1"/>
        </c:dLbls>
        <c:firstSliceAng val="0"/>
        <c:holeSize val="50"/>
        <c:extLst/>
      </c:doughnutChart>
      <c:spPr>
        <a:noFill/>
        <a:ln>
          <a:noFill/>
        </a:ln>
        <a:effectLst/>
      </c:spPr>
    </c:plotArea>
    <c:legend>
      <c:legendPos val="r"/>
      <c:legendEntry>
        <c:idx val="2"/>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legendEntry>
      <c:layout>
        <c:manualLayout>
          <c:xMode val="edge"/>
          <c:yMode val="edge"/>
          <c:x val="0.54935158433727016"/>
          <c:y val="0.17497338874307378"/>
          <c:w val="0.42508684515663014"/>
          <c:h val="0.76505461348762949"/>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UK Principal Manufacturing</a:t>
            </a:r>
            <a:r>
              <a:rPr lang="en-AU" baseline="0"/>
              <a:t> Exports 1998</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84A-46E7-A409-52EB2AC17038}"/>
              </c:ext>
            </c:extLst>
          </c:dPt>
          <c:val>
            <c:numRef>
              <c:f>'All Trade'!#REF!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'All Trade'!#REF!</c15:sqref>
                        </c15:formulaRef>
                      </c:ext>
                    </c:extLst>
                  </c:multiLvlStrRef>
                </c15:cat>
              </c15:filteredCategoryTitle>
            </c:ext>
            <c:ext xmlns:c16="http://schemas.microsoft.com/office/drawing/2014/chart" uri="{C3380CC4-5D6E-409C-BE32-E72D297353CC}">
              <c16:uniqueId val="{00000002-184A-46E7-A409-52EB2AC1703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400" b="1" i="0" u="none" strike="noStrike" kern="1200" spc="0" baseline="0">
                <a:solidFill>
                  <a:schemeClr val="tx1">
                    <a:lumMod val="75000"/>
                    <a:lumOff val="25000"/>
                  </a:schemeClr>
                </a:solidFill>
                <a:latin typeface="+mn-lt"/>
                <a:ea typeface="+mn-ea"/>
                <a:cs typeface="+mn-cs"/>
              </a:defRPr>
            </a:pPr>
            <a:r>
              <a:rPr lang="en-AU" sz="1400" b="1" i="0" u="none" strike="noStrike" kern="1200" spc="0" baseline="0">
                <a:solidFill>
                  <a:schemeClr val="tx1">
                    <a:lumMod val="75000"/>
                    <a:lumOff val="25000"/>
                  </a:schemeClr>
                </a:solidFill>
                <a:latin typeface="+mn-lt"/>
                <a:ea typeface="+mn-ea"/>
                <a:cs typeface="+mn-cs"/>
              </a:rPr>
              <a:t>Annual growth in UK trade in goods (CAGR, real prices): </a:t>
            </a:r>
          </a:p>
          <a:p>
            <a:pPr>
              <a:defRPr lang="en-AU" sz="1400">
                <a:solidFill>
                  <a:schemeClr val="tx1">
                    <a:lumMod val="75000"/>
                    <a:lumOff val="25000"/>
                  </a:schemeClr>
                </a:solidFill>
              </a:defRPr>
            </a:pPr>
            <a:r>
              <a:rPr lang="en-AU" sz="1400" b="1" i="0" u="none" strike="noStrike" kern="1200" spc="0" baseline="0">
                <a:solidFill>
                  <a:schemeClr val="tx1">
                    <a:lumMod val="75000"/>
                    <a:lumOff val="25000"/>
                  </a:schemeClr>
                </a:solidFill>
                <a:latin typeface="+mn-lt"/>
                <a:ea typeface="+mn-ea"/>
                <a:cs typeface="+mn-cs"/>
              </a:rPr>
              <a:t>1998 – 2017</a:t>
            </a:r>
          </a:p>
        </c:rich>
      </c:tx>
      <c:layout>
        <c:manualLayout>
          <c:xMode val="edge"/>
          <c:yMode val="edge"/>
          <c:x val="9.9494872889212993E-2"/>
          <c:y val="3.3130852519444809E-2"/>
        </c:manualLayout>
      </c:layout>
      <c:overlay val="0"/>
      <c:spPr>
        <a:noFill/>
        <a:ln>
          <a:noFill/>
        </a:ln>
        <a:effectLst/>
      </c:spPr>
      <c:txPr>
        <a:bodyPr rot="0" spcFirstLastPara="1" vertOverflow="ellipsis" vert="horz" wrap="square" anchor="ctr" anchorCtr="1"/>
        <a:lstStyle/>
        <a:p>
          <a:pPr>
            <a:defRPr lang="en-AU"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9.8505672419925278E-2"/>
          <c:y val="0.18512447276011826"/>
          <c:w val="0.85050109292551301"/>
          <c:h val="0.55748758782304153"/>
        </c:manualLayout>
      </c:layout>
      <c:barChart>
        <c:barDir val="bar"/>
        <c:grouping val="clustered"/>
        <c:varyColors val="0"/>
        <c:ser>
          <c:idx val="0"/>
          <c:order val="0"/>
          <c:tx>
            <c:strRef>
              <c:f>'3. Trade in Goods'!$B$74</c:f>
              <c:strCache>
                <c:ptCount val="1"/>
                <c:pt idx="0">
                  <c:v>EU</c:v>
                </c:pt>
              </c:strCache>
            </c:strRef>
          </c:tx>
          <c:spPr>
            <a:solidFill>
              <a:srgbClr val="990000"/>
            </a:solidFill>
            <a:ln>
              <a:solidFill>
                <a:srgbClr val="990000"/>
              </a:solid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Goods'!$A$75:$A$76</c:f>
              <c:strCache>
                <c:ptCount val="2"/>
                <c:pt idx="0">
                  <c:v>Exports </c:v>
                </c:pt>
                <c:pt idx="1">
                  <c:v>Imports</c:v>
                </c:pt>
              </c:strCache>
            </c:strRef>
          </c:cat>
          <c:val>
            <c:numRef>
              <c:f>'3. Trade in Goods'!$B$75:$B$76</c:f>
              <c:numCache>
                <c:formatCode>0.0%</c:formatCode>
                <c:ptCount val="2"/>
                <c:pt idx="0">
                  <c:v>2.1661529189782591E-3</c:v>
                </c:pt>
                <c:pt idx="1">
                  <c:v>3.2232660366701138E-2</c:v>
                </c:pt>
              </c:numCache>
            </c:numRef>
          </c:val>
          <c:extLst>
            <c:ext xmlns:c16="http://schemas.microsoft.com/office/drawing/2014/chart" uri="{C3380CC4-5D6E-409C-BE32-E72D297353CC}">
              <c16:uniqueId val="{00000000-5F7F-426F-8C8B-CECE5A4976AE}"/>
            </c:ext>
          </c:extLst>
        </c:ser>
        <c:ser>
          <c:idx val="1"/>
          <c:order val="1"/>
          <c:tx>
            <c:strRef>
              <c:f>'3. Trade in Goods'!$C$74</c:f>
              <c:strCache>
                <c:ptCount val="1"/>
                <c:pt idx="0">
                  <c:v>Non-EU </c:v>
                </c:pt>
              </c:strCache>
            </c:strRef>
          </c:tx>
          <c:spPr>
            <a:solidFill>
              <a:srgbClr val="002060"/>
            </a:solid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Goods'!$A$75:$A$76</c:f>
              <c:strCache>
                <c:ptCount val="2"/>
                <c:pt idx="0">
                  <c:v>Exports </c:v>
                </c:pt>
                <c:pt idx="1">
                  <c:v>Imports</c:v>
                </c:pt>
              </c:strCache>
            </c:strRef>
          </c:cat>
          <c:val>
            <c:numRef>
              <c:f>'3. Trade in Goods'!$C$75:$C$76</c:f>
              <c:numCache>
                <c:formatCode>0.0%</c:formatCode>
                <c:ptCount val="2"/>
                <c:pt idx="0">
                  <c:v>3.3180528731200809E-2</c:v>
                </c:pt>
                <c:pt idx="1">
                  <c:v>3.3511082765480982E-2</c:v>
                </c:pt>
              </c:numCache>
            </c:numRef>
          </c:val>
          <c:extLst>
            <c:ext xmlns:c16="http://schemas.microsoft.com/office/drawing/2014/chart" uri="{C3380CC4-5D6E-409C-BE32-E72D297353CC}">
              <c16:uniqueId val="{00000001-5F7F-426F-8C8B-CECE5A4976AE}"/>
            </c:ext>
          </c:extLst>
        </c:ser>
        <c:dLbls>
          <c:dLblPos val="outEnd"/>
          <c:showLegendKey val="0"/>
          <c:showVal val="1"/>
          <c:showCatName val="0"/>
          <c:showSerName val="0"/>
          <c:showPercent val="0"/>
          <c:showBubbleSize val="0"/>
        </c:dLbls>
        <c:gapWidth val="73"/>
        <c:overlap val="-28"/>
        <c:axId val="523953824"/>
        <c:axId val="523957104"/>
      </c:barChart>
      <c:catAx>
        <c:axId val="523953824"/>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523957104"/>
        <c:crosses val="autoZero"/>
        <c:auto val="1"/>
        <c:lblAlgn val="ctr"/>
        <c:lblOffset val="0"/>
        <c:noMultiLvlLbl val="0"/>
      </c:catAx>
      <c:valAx>
        <c:axId val="523957104"/>
        <c:scaling>
          <c:orientation val="minMax"/>
          <c:max val="4.0000000000000008E-2"/>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23953824"/>
        <c:crosses val="autoZero"/>
        <c:crossBetween val="between"/>
      </c:valAx>
      <c:spPr>
        <a:noFill/>
        <a:ln>
          <a:noFill/>
        </a:ln>
        <a:effectLst/>
      </c:spPr>
    </c:plotArea>
    <c:legend>
      <c:legendPos val="b"/>
      <c:layout>
        <c:manualLayout>
          <c:xMode val="edge"/>
          <c:yMode val="edge"/>
          <c:x val="0.38752032869519004"/>
          <c:y val="0.83629856351639864"/>
          <c:w val="0.22495916022814463"/>
          <c:h val="0.14280653127572446"/>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50" b="1"/>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 goods exports to EU and non-EU countries, 1998–2017</a:t>
            </a:r>
          </a:p>
          <a:p>
            <a:pPr marL="0" marR="0" lvl="0" indent="0" algn="ctr" defTabSz="914400" rtl="0" eaLnBrk="1" fontAlgn="auto" latinLnBrk="0" hangingPunct="1">
              <a:lnSpc>
                <a:spcPct val="100000"/>
              </a:lnSpc>
              <a:spcBef>
                <a:spcPts val="0"/>
              </a:spcBef>
              <a:spcAft>
                <a:spcPts val="0"/>
              </a:spcAft>
              <a:buClrTx/>
              <a:buSzTx/>
              <a:buFontTx/>
              <a:buNone/>
              <a:tabLst/>
              <a:defRPr lang="en-AU" b="1">
                <a:solidFill>
                  <a:sysClr val="windowText" lastClr="000000">
                    <a:lumMod val="65000"/>
                    <a:lumOff val="35000"/>
                  </a:sysClr>
                </a:solidFill>
              </a:defRPr>
            </a:pPr>
            <a:r>
              <a:rPr lang="en-AU" sz="1400" b="1" i="0" u="none" strike="noStrike" kern="1200" spc="0" baseline="0">
                <a:solidFill>
                  <a:sysClr val="windowText" lastClr="000000">
                    <a:lumMod val="65000"/>
                    <a:lumOff val="35000"/>
                  </a:sysClr>
                </a:solidFill>
                <a:latin typeface="+mn-lt"/>
                <a:ea typeface="+mn-ea"/>
                <a:cs typeface="+mn-cs"/>
              </a:rPr>
              <a:t> </a:t>
            </a:r>
            <a:r>
              <a:rPr lang="en-AU" sz="1050" b="1" i="0" u="none" strike="noStrike" kern="1200" spc="0" baseline="0">
                <a:solidFill>
                  <a:sysClr val="windowText" lastClr="000000">
                    <a:lumMod val="65000"/>
                    <a:lumOff val="35000"/>
                  </a:sysClr>
                </a:solidFill>
                <a:latin typeface="+mn-lt"/>
                <a:ea typeface="+mn-ea"/>
                <a:cs typeface="+mn-cs"/>
              </a:rPr>
              <a:t>(2015 prices)</a:t>
            </a:r>
            <a:endParaRPr lang="en-AU" sz="1400" b="1" i="0" u="none" strike="noStrike" kern="1200" spc="0" baseline="0">
              <a:solidFill>
                <a:sysClr val="windowText" lastClr="000000">
                  <a:lumMod val="65000"/>
                  <a:lumOff val="35000"/>
                </a:sysClr>
              </a:solidFill>
              <a:latin typeface="+mn-lt"/>
              <a:ea typeface="+mn-ea"/>
              <a:cs typeface="+mn-cs"/>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'3. Trade in Goods'!$A$115</c:f>
              <c:strCache>
                <c:ptCount val="1"/>
                <c:pt idx="0">
                  <c:v>Goods exports to EU (£ billion)</c:v>
                </c:pt>
              </c:strCache>
            </c:strRef>
          </c:tx>
          <c:spPr>
            <a:solidFill>
              <a:srgbClr val="990000"/>
            </a:solidFill>
            <a:ln>
              <a:solidFill>
                <a:srgbClr val="990000"/>
              </a:solidFill>
            </a:ln>
            <a:effectLst/>
          </c:spPr>
          <c:invertIfNegative val="0"/>
          <c:cat>
            <c:strRef>
              <c:f>'3. Trade in Goods'!$B$114:$U$114</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Goods'!$B$115:$U$115</c:f>
              <c:numCache>
                <c:formatCode>0.0</c:formatCode>
                <c:ptCount val="20"/>
                <c:pt idx="0">
                  <c:v>128.67737789203085</c:v>
                </c:pt>
                <c:pt idx="1">
                  <c:v>131.22051282051282</c:v>
                </c:pt>
                <c:pt idx="2">
                  <c:v>142.28751576292561</c:v>
                </c:pt>
                <c:pt idx="3">
                  <c:v>142.60450563204006</c:v>
                </c:pt>
                <c:pt idx="4">
                  <c:v>145.08975979772441</c:v>
                </c:pt>
                <c:pt idx="5">
                  <c:v>138.14727722772278</c:v>
                </c:pt>
                <c:pt idx="6">
                  <c:v>139.53291925465837</c:v>
                </c:pt>
                <c:pt idx="7">
                  <c:v>147.78181818181818</c:v>
                </c:pt>
                <c:pt idx="8">
                  <c:v>183.03937947494035</c:v>
                </c:pt>
                <c:pt idx="9">
                  <c:v>154.05769230769229</c:v>
                </c:pt>
                <c:pt idx="10">
                  <c:v>156.14473684210526</c:v>
                </c:pt>
                <c:pt idx="11">
                  <c:v>132.69693769799366</c:v>
                </c:pt>
                <c:pt idx="12">
                  <c:v>144.94282848545637</c:v>
                </c:pt>
                <c:pt idx="13">
                  <c:v>154.97906755470981</c:v>
                </c:pt>
                <c:pt idx="14">
                  <c:v>144.82526115859451</c:v>
                </c:pt>
                <c:pt idx="15">
                  <c:v>139.63342566943678</c:v>
                </c:pt>
                <c:pt idx="16">
                  <c:v>139.47958214624884</c:v>
                </c:pt>
                <c:pt idx="17">
                  <c:v>133.66399999999999</c:v>
                </c:pt>
                <c:pt idx="18">
                  <c:v>136.16889312977099</c:v>
                </c:pt>
                <c:pt idx="19">
                  <c:v>147.42228212039532</c:v>
                </c:pt>
              </c:numCache>
            </c:numRef>
          </c:val>
          <c:extLst>
            <c:ext xmlns:c16="http://schemas.microsoft.com/office/drawing/2014/chart" uri="{C3380CC4-5D6E-409C-BE32-E72D297353CC}">
              <c16:uniqueId val="{00000000-F9C0-4181-88E4-7AF1B9757D95}"/>
            </c:ext>
          </c:extLst>
        </c:ser>
        <c:ser>
          <c:idx val="1"/>
          <c:order val="1"/>
          <c:tx>
            <c:strRef>
              <c:f>'3. Trade in Goods'!$A$116</c:f>
              <c:strCache>
                <c:ptCount val="1"/>
                <c:pt idx="0">
                  <c:v>Goods exports to Non-EU (£ billion)</c:v>
                </c:pt>
              </c:strCache>
            </c:strRef>
          </c:tx>
          <c:spPr>
            <a:solidFill>
              <a:srgbClr val="002060"/>
            </a:solidFill>
            <a:ln>
              <a:noFill/>
            </a:ln>
            <a:effectLst/>
          </c:spPr>
          <c:invertIfNegative val="0"/>
          <c:cat>
            <c:strRef>
              <c:f>'3. Trade in Goods'!$B$114:$U$114</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Goods'!$B$116:$U$116</c:f>
              <c:numCache>
                <c:formatCode>0.0</c:formatCode>
                <c:ptCount val="20"/>
                <c:pt idx="0">
                  <c:v>83.763496143958875</c:v>
                </c:pt>
                <c:pt idx="1">
                  <c:v>83.88717948717948</c:v>
                </c:pt>
                <c:pt idx="2">
                  <c:v>95.997477931904172</c:v>
                </c:pt>
                <c:pt idx="3">
                  <c:v>94.608260325406746</c:v>
                </c:pt>
                <c:pt idx="4">
                  <c:v>91.266750948166873</c:v>
                </c:pt>
                <c:pt idx="5">
                  <c:v>95.384900990099013</c:v>
                </c:pt>
                <c:pt idx="6">
                  <c:v>98.619875776397507</c:v>
                </c:pt>
                <c:pt idx="7">
                  <c:v>110.10545454545455</c:v>
                </c:pt>
                <c:pt idx="8">
                  <c:v>109.03579952267303</c:v>
                </c:pt>
                <c:pt idx="9">
                  <c:v>113.39903846153845</c:v>
                </c:pt>
                <c:pt idx="10">
                  <c:v>120.45504385964912</c:v>
                </c:pt>
                <c:pt idx="11">
                  <c:v>107.39176346356916</c:v>
                </c:pt>
                <c:pt idx="12">
                  <c:v>122.89769307923771</c:v>
                </c:pt>
                <c:pt idx="13">
                  <c:v>134.08277830637488</c:v>
                </c:pt>
                <c:pt idx="14">
                  <c:v>139.49382716049382</c:v>
                </c:pt>
                <c:pt idx="15">
                  <c:v>137.73499538319484</c:v>
                </c:pt>
                <c:pt idx="16">
                  <c:v>138.88319088319088</c:v>
                </c:pt>
                <c:pt idx="17">
                  <c:v>153.08799999999999</c:v>
                </c:pt>
                <c:pt idx="18">
                  <c:v>149.20610687022901</c:v>
                </c:pt>
                <c:pt idx="19">
                  <c:v>156.92542677448336</c:v>
                </c:pt>
              </c:numCache>
            </c:numRef>
          </c:val>
          <c:extLst>
            <c:ext xmlns:c16="http://schemas.microsoft.com/office/drawing/2014/chart" uri="{C3380CC4-5D6E-409C-BE32-E72D297353CC}">
              <c16:uniqueId val="{00000001-F9C0-4181-88E4-7AF1B9757D95}"/>
            </c:ext>
          </c:extLst>
        </c:ser>
        <c:dLbls>
          <c:showLegendKey val="0"/>
          <c:showVal val="0"/>
          <c:showCatName val="0"/>
          <c:showSerName val="0"/>
          <c:showPercent val="0"/>
          <c:showBubbleSize val="0"/>
        </c:dLbls>
        <c:gapWidth val="219"/>
        <c:overlap val="-27"/>
        <c:axId val="514809752"/>
        <c:axId val="514814344"/>
      </c:barChart>
      <c:catAx>
        <c:axId val="51480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crossAx val="514814344"/>
        <c:crosses val="autoZero"/>
        <c:auto val="1"/>
        <c:lblAlgn val="ctr"/>
        <c:lblOffset val="100"/>
        <c:noMultiLvlLbl val="0"/>
      </c:catAx>
      <c:valAx>
        <c:axId val="514814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billion</a:t>
                </a:r>
              </a:p>
            </c:rich>
          </c:tx>
          <c:layout>
            <c:manualLayout>
              <c:xMode val="edge"/>
              <c:yMode val="edge"/>
              <c:x val="1.1876483449933282E-2"/>
              <c:y val="0.364685943788298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809]* #,##0_-;\-[$£-809]* #,##0_-;_-[$£-809]*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4809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UK-EU trade in goods: 1998 – 2017</a:t>
            </a:r>
          </a:p>
          <a:p>
            <a:pPr marL="0" marR="0" lvl="0" indent="0" algn="ctr" defTabSz="914400" rtl="0" eaLnBrk="1" fontAlgn="auto" latinLnBrk="0" hangingPunct="1">
              <a:lnSpc>
                <a:spcPct val="100000"/>
              </a:lnSpc>
              <a:spcBef>
                <a:spcPts val="0"/>
              </a:spcBef>
              <a:spcAft>
                <a:spcPts val="0"/>
              </a:spcAft>
              <a:buClrTx/>
              <a:buSzTx/>
              <a:buFontTx/>
              <a:buNone/>
              <a:tabLst/>
              <a:defRPr lang="en-AU" b="1">
                <a:solidFill>
                  <a:sysClr val="windowText" lastClr="000000">
                    <a:lumMod val="65000"/>
                    <a:lumOff val="35000"/>
                  </a:sysClr>
                </a:solidFill>
              </a:defRPr>
            </a:pPr>
            <a:endParaRPr lang="en-AU" sz="1400" b="1" i="0" u="none" strike="noStrike" kern="1200" spc="0" baseline="0">
              <a:solidFill>
                <a:sysClr val="windowText" lastClr="000000">
                  <a:lumMod val="65000"/>
                  <a:lumOff val="35000"/>
                </a:sysClr>
              </a:solidFill>
              <a:latin typeface="+mn-lt"/>
              <a:ea typeface="+mn-ea"/>
              <a:cs typeface="+mn-cs"/>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7.7586723911118996E-2"/>
          <c:y val="0.14883078394891275"/>
          <c:w val="0.90585532259978119"/>
          <c:h val="0.63545037472922417"/>
        </c:manualLayout>
      </c:layout>
      <c:barChart>
        <c:barDir val="col"/>
        <c:grouping val="clustered"/>
        <c:varyColors val="0"/>
        <c:ser>
          <c:idx val="0"/>
          <c:order val="0"/>
          <c:tx>
            <c:strRef>
              <c:f>'3. Trade in Goods'!$A$138</c:f>
              <c:strCache>
                <c:ptCount val="1"/>
                <c:pt idx="0">
                  <c:v>Total goods exports to EU</c:v>
                </c:pt>
              </c:strCache>
            </c:strRef>
          </c:tx>
          <c:spPr>
            <a:solidFill>
              <a:srgbClr val="800000"/>
            </a:solidFill>
            <a:ln>
              <a:solidFill>
                <a:srgbClr val="990000"/>
              </a:solidFill>
            </a:ln>
            <a:effectLst/>
          </c:spPr>
          <c:invertIfNegative val="0"/>
          <c:cat>
            <c:strRef>
              <c:f>'3. Trade in Goods'!$B$137:$U$137</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Goods'!$B$138:$U$138</c:f>
              <c:numCache>
                <c:formatCode>0.00</c:formatCode>
                <c:ptCount val="20"/>
                <c:pt idx="0">
                  <c:v>128.67737789203085</c:v>
                </c:pt>
                <c:pt idx="1">
                  <c:v>131.22051282051282</c:v>
                </c:pt>
                <c:pt idx="2">
                  <c:v>142.28751576292561</c:v>
                </c:pt>
                <c:pt idx="3">
                  <c:v>142.60450563204006</c:v>
                </c:pt>
                <c:pt idx="4">
                  <c:v>145.08975979772441</c:v>
                </c:pt>
                <c:pt idx="5">
                  <c:v>138.14727722772278</c:v>
                </c:pt>
                <c:pt idx="6">
                  <c:v>139.53291925465837</c:v>
                </c:pt>
                <c:pt idx="7">
                  <c:v>147.78181818181818</c:v>
                </c:pt>
                <c:pt idx="8">
                  <c:v>183.03937947494035</c:v>
                </c:pt>
                <c:pt idx="9">
                  <c:v>154.05769230769229</c:v>
                </c:pt>
                <c:pt idx="10">
                  <c:v>156.14473684210526</c:v>
                </c:pt>
                <c:pt idx="11">
                  <c:v>132.69693769799366</c:v>
                </c:pt>
                <c:pt idx="12">
                  <c:v>144.94282848545637</c:v>
                </c:pt>
                <c:pt idx="13">
                  <c:v>154.97906755470981</c:v>
                </c:pt>
                <c:pt idx="14">
                  <c:v>144.82526115859451</c:v>
                </c:pt>
                <c:pt idx="15">
                  <c:v>139.63342566943678</c:v>
                </c:pt>
                <c:pt idx="16">
                  <c:v>139.47958214624884</c:v>
                </c:pt>
                <c:pt idx="17">
                  <c:v>133.66399999999999</c:v>
                </c:pt>
                <c:pt idx="18">
                  <c:v>136.16889312977099</c:v>
                </c:pt>
                <c:pt idx="19">
                  <c:v>147.42228212039532</c:v>
                </c:pt>
              </c:numCache>
            </c:numRef>
          </c:val>
          <c:extLst>
            <c:ext xmlns:c16="http://schemas.microsoft.com/office/drawing/2014/chart" uri="{C3380CC4-5D6E-409C-BE32-E72D297353CC}">
              <c16:uniqueId val="{00000000-47F7-4A21-95AE-EBDBF94E650C}"/>
            </c:ext>
          </c:extLst>
        </c:ser>
        <c:ser>
          <c:idx val="1"/>
          <c:order val="1"/>
          <c:tx>
            <c:strRef>
              <c:f>'3. Trade in Goods'!$A$139</c:f>
              <c:strCache>
                <c:ptCount val="1"/>
                <c:pt idx="0">
                  <c:v>Total goods imports from EU</c:v>
                </c:pt>
              </c:strCache>
            </c:strRef>
          </c:tx>
          <c:spPr>
            <a:solidFill>
              <a:srgbClr val="002060"/>
            </a:solidFill>
            <a:ln>
              <a:noFill/>
            </a:ln>
            <a:effectLst/>
          </c:spPr>
          <c:invertIfNegative val="0"/>
          <c:cat>
            <c:strRef>
              <c:f>'3. Trade in Goods'!$B$137:$U$137</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Goods'!$B$139:$U$139</c:f>
              <c:numCache>
                <c:formatCode>0.00</c:formatCode>
                <c:ptCount val="20"/>
                <c:pt idx="0">
                  <c:v>127.30602409638556</c:v>
                </c:pt>
                <c:pt idx="1">
                  <c:v>133.44309927360777</c:v>
                </c:pt>
                <c:pt idx="2">
                  <c:v>139.50413223140495</c:v>
                </c:pt>
                <c:pt idx="3">
                  <c:v>151.46745562130178</c:v>
                </c:pt>
                <c:pt idx="4">
                  <c:v>168.72815533980582</c:v>
                </c:pt>
                <c:pt idx="5">
                  <c:v>167.94939759036146</c:v>
                </c:pt>
                <c:pt idx="6">
                  <c:v>175.89377289377288</c:v>
                </c:pt>
                <c:pt idx="7">
                  <c:v>188.06957547169813</c:v>
                </c:pt>
                <c:pt idx="8">
                  <c:v>214.33602771362587</c:v>
                </c:pt>
                <c:pt idx="9">
                  <c:v>197.3271676300578</c:v>
                </c:pt>
                <c:pt idx="10">
                  <c:v>187.09621289662232</c:v>
                </c:pt>
                <c:pt idx="11">
                  <c:v>164.56972111553785</c:v>
                </c:pt>
                <c:pt idx="12">
                  <c:v>180.84807692307692</c:v>
                </c:pt>
                <c:pt idx="13">
                  <c:v>183.59009009009006</c:v>
                </c:pt>
                <c:pt idx="14">
                  <c:v>189.66212534059946</c:v>
                </c:pt>
                <c:pt idx="15">
                  <c:v>196.89828982898288</c:v>
                </c:pt>
                <c:pt idx="16">
                  <c:v>210.91533396048919</c:v>
                </c:pt>
                <c:pt idx="17">
                  <c:v>220.52199999999999</c:v>
                </c:pt>
                <c:pt idx="18">
                  <c:v>229.27176015473887</c:v>
                </c:pt>
                <c:pt idx="19">
                  <c:v>236.56946983546618</c:v>
                </c:pt>
              </c:numCache>
            </c:numRef>
          </c:val>
          <c:extLst>
            <c:ext xmlns:c16="http://schemas.microsoft.com/office/drawing/2014/chart" uri="{C3380CC4-5D6E-409C-BE32-E72D297353CC}">
              <c16:uniqueId val="{00000001-47F7-4A21-95AE-EBDBF94E650C}"/>
            </c:ext>
          </c:extLst>
        </c:ser>
        <c:ser>
          <c:idx val="2"/>
          <c:order val="2"/>
          <c:tx>
            <c:strRef>
              <c:f>'3. Trade in Goods'!$A$140</c:f>
              <c:strCache>
                <c:ptCount val="1"/>
                <c:pt idx="0">
                  <c:v> Balance </c:v>
                </c:pt>
              </c:strCache>
            </c:strRef>
          </c:tx>
          <c:spPr>
            <a:solidFill>
              <a:schemeClr val="accent3"/>
            </a:solidFill>
            <a:ln>
              <a:solidFill>
                <a:schemeClr val="tx1">
                  <a:lumMod val="75000"/>
                  <a:lumOff val="25000"/>
                </a:schemeClr>
              </a:solidFill>
            </a:ln>
            <a:effectLst/>
          </c:spPr>
          <c:invertIfNegative val="0"/>
          <c:cat>
            <c:strRef>
              <c:f>'3. Trade in Goods'!$B$137:$U$137</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Goods'!$B$140:$U$140</c:f>
              <c:numCache>
                <c:formatCode>0.00</c:formatCode>
                <c:ptCount val="20"/>
                <c:pt idx="0">
                  <c:v>1.371353795645291</c:v>
                </c:pt>
                <c:pt idx="1">
                  <c:v>-2.222586453094948</c:v>
                </c:pt>
                <c:pt idx="2">
                  <c:v>2.7833835315206557</c:v>
                </c:pt>
                <c:pt idx="3">
                  <c:v>-8.8629499892617218</c:v>
                </c:pt>
                <c:pt idx="4">
                  <c:v>-23.638395542081412</c:v>
                </c:pt>
                <c:pt idx="5">
                  <c:v>-29.802120362638675</c:v>
                </c:pt>
                <c:pt idx="6">
                  <c:v>-36.360853639114509</c:v>
                </c:pt>
                <c:pt idx="7">
                  <c:v>-40.287757289879949</c:v>
                </c:pt>
                <c:pt idx="8">
                  <c:v>-31.29664823868552</c:v>
                </c:pt>
                <c:pt idx="9">
                  <c:v>-43.269475322365508</c:v>
                </c:pt>
                <c:pt idx="10">
                  <c:v>-30.951476054517059</c:v>
                </c:pt>
                <c:pt idx="11">
                  <c:v>-31.872783417544184</c:v>
                </c:pt>
                <c:pt idx="12">
                  <c:v>-35.905248437620543</c:v>
                </c:pt>
                <c:pt idx="13">
                  <c:v>-28.611022535380243</c:v>
                </c:pt>
                <c:pt idx="14">
                  <c:v>-44.836864182004945</c:v>
                </c:pt>
                <c:pt idx="15">
                  <c:v>-57.264864159546107</c:v>
                </c:pt>
                <c:pt idx="16">
                  <c:v>-71.435751814240348</c:v>
                </c:pt>
                <c:pt idx="17">
                  <c:v>-86.858000000000004</c:v>
                </c:pt>
                <c:pt idx="18">
                  <c:v>-93.102867024967878</c:v>
                </c:pt>
                <c:pt idx="19" formatCode="_-[$£-809]* #,##0.00_-;\-[$£-809]* #,##0.00_-;_-[$£-809]* &quot;-&quot;??_-;_-@_-">
                  <c:v>-89.147187715070856</c:v>
                </c:pt>
              </c:numCache>
            </c:numRef>
          </c:val>
          <c:extLst>
            <c:ext xmlns:c16="http://schemas.microsoft.com/office/drawing/2014/chart" uri="{C3380CC4-5D6E-409C-BE32-E72D297353CC}">
              <c16:uniqueId val="{00000002-47F7-4A21-95AE-EBDBF94E650C}"/>
            </c:ext>
          </c:extLst>
        </c:ser>
        <c:dLbls>
          <c:showLegendKey val="0"/>
          <c:showVal val="0"/>
          <c:showCatName val="0"/>
          <c:showSerName val="0"/>
          <c:showPercent val="0"/>
          <c:showBubbleSize val="0"/>
        </c:dLbls>
        <c:gapWidth val="219"/>
        <c:overlap val="-27"/>
        <c:axId val="516891728"/>
        <c:axId val="516890416"/>
      </c:barChart>
      <c:catAx>
        <c:axId val="51689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16890416"/>
        <c:crosses val="autoZero"/>
        <c:auto val="1"/>
        <c:lblAlgn val="ctr"/>
        <c:lblOffset val="1000"/>
        <c:noMultiLvlLbl val="0"/>
      </c:catAx>
      <c:valAx>
        <c:axId val="516890416"/>
        <c:scaling>
          <c:orientation val="minMax"/>
          <c:max val="25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AU" b="1"/>
                  <a:t>£ billion</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16891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 – non-EU trade in goods: 1998 – 2017</a:t>
            </a:r>
          </a:p>
        </c:rich>
      </c:tx>
      <c:overlay val="0"/>
      <c:spPr>
        <a:noFill/>
        <a:ln>
          <a:noFill/>
        </a:ln>
        <a:effectLst/>
      </c:spPr>
      <c:txPr>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'3. Trade in Goods'!$A$143</c:f>
              <c:strCache>
                <c:ptCount val="1"/>
                <c:pt idx="0">
                  <c:v>Total goods exports to Non-EU </c:v>
                </c:pt>
              </c:strCache>
            </c:strRef>
          </c:tx>
          <c:spPr>
            <a:solidFill>
              <a:srgbClr val="800000"/>
            </a:solidFill>
            <a:ln>
              <a:solidFill>
                <a:srgbClr val="990000"/>
              </a:solidFill>
            </a:ln>
            <a:effectLst/>
          </c:spPr>
          <c:invertIfNegative val="0"/>
          <c:cat>
            <c:strRef>
              <c:f>'3. Trade in Goods'!$B$142:$U$142</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Goods'!$B$143:$U$143</c:f>
              <c:numCache>
                <c:formatCode>0.000</c:formatCode>
                <c:ptCount val="20"/>
                <c:pt idx="0">
                  <c:v>83.763496143958875</c:v>
                </c:pt>
                <c:pt idx="1">
                  <c:v>83.88717948717948</c:v>
                </c:pt>
                <c:pt idx="2">
                  <c:v>95.997477931904172</c:v>
                </c:pt>
                <c:pt idx="3">
                  <c:v>94.608260325406746</c:v>
                </c:pt>
                <c:pt idx="4">
                  <c:v>91.266750948166873</c:v>
                </c:pt>
                <c:pt idx="5">
                  <c:v>95.384900990099013</c:v>
                </c:pt>
                <c:pt idx="6">
                  <c:v>98.619875776397507</c:v>
                </c:pt>
                <c:pt idx="7">
                  <c:v>110.10545454545455</c:v>
                </c:pt>
                <c:pt idx="8">
                  <c:v>109.03579952267303</c:v>
                </c:pt>
                <c:pt idx="9">
                  <c:v>113.39903846153845</c:v>
                </c:pt>
                <c:pt idx="10">
                  <c:v>120.45504385964912</c:v>
                </c:pt>
                <c:pt idx="11">
                  <c:v>107.39176346356916</c:v>
                </c:pt>
                <c:pt idx="12">
                  <c:v>122.89769307923771</c:v>
                </c:pt>
                <c:pt idx="13">
                  <c:v>134.08277830637488</c:v>
                </c:pt>
                <c:pt idx="14">
                  <c:v>139.49382716049382</c:v>
                </c:pt>
                <c:pt idx="15">
                  <c:v>137.73499538319484</c:v>
                </c:pt>
                <c:pt idx="16">
                  <c:v>138.88319088319088</c:v>
                </c:pt>
                <c:pt idx="17">
                  <c:v>153.08799999999999</c:v>
                </c:pt>
                <c:pt idx="18">
                  <c:v>149.20610687022901</c:v>
                </c:pt>
                <c:pt idx="19">
                  <c:v>156.92542677448336</c:v>
                </c:pt>
              </c:numCache>
            </c:numRef>
          </c:val>
          <c:extLst>
            <c:ext xmlns:c16="http://schemas.microsoft.com/office/drawing/2014/chart" uri="{C3380CC4-5D6E-409C-BE32-E72D297353CC}">
              <c16:uniqueId val="{00000000-3771-4B47-B7B4-41FCDE3B7545}"/>
            </c:ext>
          </c:extLst>
        </c:ser>
        <c:ser>
          <c:idx val="1"/>
          <c:order val="1"/>
          <c:tx>
            <c:strRef>
              <c:f>'3. Trade in Goods'!$A$144</c:f>
              <c:strCache>
                <c:ptCount val="1"/>
                <c:pt idx="0">
                  <c:v>Total goods imports from Non-EU</c:v>
                </c:pt>
              </c:strCache>
            </c:strRef>
          </c:tx>
          <c:spPr>
            <a:solidFill>
              <a:srgbClr val="002060"/>
            </a:solidFill>
            <a:ln>
              <a:noFill/>
            </a:ln>
            <a:effectLst/>
          </c:spPr>
          <c:invertIfNegative val="0"/>
          <c:cat>
            <c:strRef>
              <c:f>'3. Trade in Goods'!$B$142:$U$142</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Goods'!$B$144:$U$144</c:f>
              <c:numCache>
                <c:formatCode>0.000</c:formatCode>
                <c:ptCount val="20"/>
                <c:pt idx="0">
                  <c:v>97.607228915662645</c:v>
                </c:pt>
                <c:pt idx="1">
                  <c:v>104.07748184019371</c:v>
                </c:pt>
                <c:pt idx="2">
                  <c:v>124.14521841794569</c:v>
                </c:pt>
                <c:pt idx="3">
                  <c:v>124.35266272189349</c:v>
                </c:pt>
                <c:pt idx="4">
                  <c:v>118.33495145631066</c:v>
                </c:pt>
                <c:pt idx="5">
                  <c:v>120.74457831325302</c:v>
                </c:pt>
                <c:pt idx="6">
                  <c:v>132.7032967032967</c:v>
                </c:pt>
                <c:pt idx="7">
                  <c:v>144.8183962264151</c:v>
                </c:pt>
                <c:pt idx="8">
                  <c:v>158.2459584295612</c:v>
                </c:pt>
                <c:pt idx="9">
                  <c:v>162.33526011560693</c:v>
                </c:pt>
                <c:pt idx="10">
                  <c:v>164.92323439099283</c:v>
                </c:pt>
                <c:pt idx="11">
                  <c:v>146.85358565737053</c:v>
                </c:pt>
                <c:pt idx="12">
                  <c:v>167.85480769230767</c:v>
                </c:pt>
                <c:pt idx="13">
                  <c:v>175.11891891891892</c:v>
                </c:pt>
                <c:pt idx="14">
                  <c:v>179.19164396003632</c:v>
                </c:pt>
                <c:pt idx="15">
                  <c:v>180.58145814581459</c:v>
                </c:pt>
                <c:pt idx="16">
                  <c:v>179.66509877704613</c:v>
                </c:pt>
                <c:pt idx="17">
                  <c:v>184.04</c:v>
                </c:pt>
                <c:pt idx="18">
                  <c:v>188.25725338491293</c:v>
                </c:pt>
                <c:pt idx="19">
                  <c:v>198.32449725776965</c:v>
                </c:pt>
              </c:numCache>
            </c:numRef>
          </c:val>
          <c:extLst>
            <c:ext xmlns:c16="http://schemas.microsoft.com/office/drawing/2014/chart" uri="{C3380CC4-5D6E-409C-BE32-E72D297353CC}">
              <c16:uniqueId val="{00000001-3771-4B47-B7B4-41FCDE3B7545}"/>
            </c:ext>
          </c:extLst>
        </c:ser>
        <c:ser>
          <c:idx val="2"/>
          <c:order val="2"/>
          <c:tx>
            <c:strRef>
              <c:f>'3. Trade in Goods'!$A$145</c:f>
              <c:strCache>
                <c:ptCount val="1"/>
                <c:pt idx="0">
                  <c:v>Balance</c:v>
                </c:pt>
              </c:strCache>
            </c:strRef>
          </c:tx>
          <c:spPr>
            <a:solidFill>
              <a:schemeClr val="accent3"/>
            </a:solidFill>
            <a:ln>
              <a:solidFill>
                <a:schemeClr val="bg2">
                  <a:lumMod val="25000"/>
                </a:schemeClr>
              </a:solidFill>
            </a:ln>
            <a:effectLst/>
          </c:spPr>
          <c:invertIfNegative val="0"/>
          <c:cat>
            <c:strRef>
              <c:f>'3. Trade in Goods'!$B$142:$U$142</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Goods'!$B$145:$U$145</c:f>
              <c:numCache>
                <c:formatCode>0.00</c:formatCode>
                <c:ptCount val="20"/>
                <c:pt idx="0">
                  <c:v>-13.84373277170377</c:v>
                </c:pt>
                <c:pt idx="1">
                  <c:v>-20.190302353014232</c:v>
                </c:pt>
                <c:pt idx="2">
                  <c:v>-28.147740486041513</c:v>
                </c:pt>
                <c:pt idx="3">
                  <c:v>-29.744402396486748</c:v>
                </c:pt>
                <c:pt idx="4">
                  <c:v>-27.068200508143789</c:v>
                </c:pt>
                <c:pt idx="5">
                  <c:v>-25.359677323154003</c:v>
                </c:pt>
                <c:pt idx="6">
                  <c:v>-34.083420926899194</c:v>
                </c:pt>
                <c:pt idx="7">
                  <c:v>-34.712941680960554</c:v>
                </c:pt>
                <c:pt idx="8">
                  <c:v>-49.210158906888168</c:v>
                </c:pt>
                <c:pt idx="9">
                  <c:v>-48.936221654068476</c:v>
                </c:pt>
                <c:pt idx="10">
                  <c:v>-44.468190531343708</c:v>
                </c:pt>
                <c:pt idx="11">
                  <c:v>-39.461822193801368</c:v>
                </c:pt>
                <c:pt idx="12">
                  <c:v>-44.957114613069962</c:v>
                </c:pt>
                <c:pt idx="13">
                  <c:v>-41.036140612544045</c:v>
                </c:pt>
                <c:pt idx="14">
                  <c:v>-39.697816799542494</c:v>
                </c:pt>
                <c:pt idx="15">
                  <c:v>-42.846462762619751</c:v>
                </c:pt>
                <c:pt idx="16">
                  <c:v>-40.781907893855248</c:v>
                </c:pt>
                <c:pt idx="17">
                  <c:v>-30.951999999999998</c:v>
                </c:pt>
                <c:pt idx="18">
                  <c:v>-39.051146514683921</c:v>
                </c:pt>
                <c:pt idx="19" formatCode="_-[$£-809]* #,##0.00_-;\-[$£-809]* #,##0.00_-;_-[$£-809]* &quot;-&quot;??_-;_-@_-">
                  <c:v>-41.399070483286295</c:v>
                </c:pt>
              </c:numCache>
            </c:numRef>
          </c:val>
          <c:extLst>
            <c:ext xmlns:c16="http://schemas.microsoft.com/office/drawing/2014/chart" uri="{C3380CC4-5D6E-409C-BE32-E72D297353CC}">
              <c16:uniqueId val="{00000002-3771-4B47-B7B4-41FCDE3B7545}"/>
            </c:ext>
          </c:extLst>
        </c:ser>
        <c:dLbls>
          <c:showLegendKey val="0"/>
          <c:showVal val="0"/>
          <c:showCatName val="0"/>
          <c:showSerName val="0"/>
          <c:showPercent val="0"/>
          <c:showBubbleSize val="0"/>
        </c:dLbls>
        <c:gapWidth val="219"/>
        <c:overlap val="-27"/>
        <c:axId val="516911408"/>
        <c:axId val="516909768"/>
      </c:barChart>
      <c:catAx>
        <c:axId val="51691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16909768"/>
        <c:crosses val="autoZero"/>
        <c:auto val="1"/>
        <c:lblAlgn val="ctr"/>
        <c:lblOffset val="700"/>
        <c:noMultiLvlLbl val="0"/>
      </c:catAx>
      <c:valAx>
        <c:axId val="516909768"/>
        <c:scaling>
          <c:orientation val="minMax"/>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911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a:t>Growth</a:t>
            </a:r>
            <a:r>
              <a:rPr lang="en-AU" b="1" baseline="0"/>
              <a:t> in UK goods exports to EU &amp; non-EU</a:t>
            </a:r>
            <a:br>
              <a:rPr lang="en-AU" b="1" baseline="0"/>
            </a:br>
            <a:r>
              <a:rPr lang="en-AU" b="1" baseline="0"/>
              <a:t> (real prices): 1998 </a:t>
            </a:r>
            <a:r>
              <a:rPr lang="en-AU" b="1" baseline="0">
                <a:latin typeface="Calibri" panose="020F0502020204030204" pitchFamily="34" charset="0"/>
                <a:cs typeface="Calibri" panose="020F0502020204030204" pitchFamily="34" charset="0"/>
              </a:rPr>
              <a:t>– 2017</a:t>
            </a:r>
            <a:endParaRPr lang="en-AU" b="1"/>
          </a:p>
        </c:rich>
      </c:tx>
      <c:layout>
        <c:manualLayout>
          <c:xMode val="edge"/>
          <c:yMode val="edge"/>
          <c:x val="0.12677112344404337"/>
          <c:y val="1.851851851851851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'3. Trade in Goods'!$H$52</c:f>
              <c:strCache>
                <c:ptCount val="1"/>
                <c:pt idx="0">
                  <c:v> EU</c:v>
                </c:pt>
              </c:strCache>
            </c:strRef>
          </c:tx>
          <c:spPr>
            <a:solidFill>
              <a:srgbClr val="990000"/>
            </a:solidFill>
            <a:ln w="9525">
              <a:solidFill>
                <a:srgbClr val="990000"/>
              </a:solidFill>
            </a:ln>
            <a:effectLst/>
          </c:spPr>
          <c:invertIfNegative val="0"/>
          <c:dPt>
            <c:idx val="1"/>
            <c:invertIfNegative val="0"/>
            <c:bubble3D val="0"/>
            <c:spPr>
              <a:solidFill>
                <a:srgbClr val="990000"/>
              </a:solidFill>
              <a:ln w="6350">
                <a:solidFill>
                  <a:srgbClr val="000E2A"/>
                </a:solidFill>
              </a:ln>
              <a:effectLst/>
            </c:spPr>
            <c:extLst>
              <c:ext xmlns:c16="http://schemas.microsoft.com/office/drawing/2014/chart" uri="{C3380CC4-5D6E-409C-BE32-E72D297353CC}">
                <c16:uniqueId val="{00000003-4FE0-4747-9F84-68A04D525C2C}"/>
              </c:ext>
            </c:extLst>
          </c:dPt>
          <c:dLbls>
            <c:dLbl>
              <c:idx val="0"/>
              <c:layout>
                <c:manualLayout>
                  <c:x val="-2.3581870777661827E-3"/>
                  <c:y val="5.4988762611044547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1B-4858-AC5E-3F09C8095B8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Trade in Goods'!$G$53:$G$54</c:f>
              <c:strCache>
                <c:ptCount val="2"/>
                <c:pt idx="0">
                  <c:v>Exports</c:v>
                </c:pt>
                <c:pt idx="1">
                  <c:v>Imports</c:v>
                </c:pt>
              </c:strCache>
            </c:strRef>
          </c:cat>
          <c:val>
            <c:numRef>
              <c:f>'3. Trade in Goods'!$H$53:$H$54</c:f>
              <c:numCache>
                <c:formatCode>0.0%</c:formatCode>
                <c:ptCount val="2"/>
                <c:pt idx="0">
                  <c:v>3.7469705593646707E-2</c:v>
                </c:pt>
                <c:pt idx="1">
                  <c:v>0.71482235405909156</c:v>
                </c:pt>
              </c:numCache>
            </c:numRef>
          </c:val>
          <c:extLst>
            <c:ext xmlns:c16="http://schemas.microsoft.com/office/drawing/2014/chart" uri="{C3380CC4-5D6E-409C-BE32-E72D297353CC}">
              <c16:uniqueId val="{00000000-3E84-4EFD-A593-5C588269D6E1}"/>
            </c:ext>
          </c:extLst>
        </c:ser>
        <c:ser>
          <c:idx val="1"/>
          <c:order val="1"/>
          <c:tx>
            <c:strRef>
              <c:f>'3. Trade in Goods'!$I$52</c:f>
              <c:strCache>
                <c:ptCount val="1"/>
                <c:pt idx="0">
                  <c:v> Non-EU</c:v>
                </c:pt>
              </c:strCache>
            </c:strRef>
          </c:tx>
          <c:spPr>
            <a:solidFill>
              <a:srgbClr val="002060"/>
            </a:solidFill>
            <a:ln w="12700">
              <a:solidFill>
                <a:sysClr val="windowText" lastClr="000000"/>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Goods'!$G$53:$G$54</c:f>
              <c:strCache>
                <c:ptCount val="2"/>
                <c:pt idx="0">
                  <c:v>Exports</c:v>
                </c:pt>
                <c:pt idx="1">
                  <c:v>Imports</c:v>
                </c:pt>
              </c:strCache>
            </c:strRef>
          </c:cat>
          <c:val>
            <c:numRef>
              <c:f>'3. Trade in Goods'!$I$53:$I$54</c:f>
              <c:numCache>
                <c:formatCode>0.0%</c:formatCode>
                <c:ptCount val="2"/>
                <c:pt idx="0">
                  <c:v>0.74178930304894208</c:v>
                </c:pt>
                <c:pt idx="1">
                  <c:v>0.75128709658315407</c:v>
                </c:pt>
              </c:numCache>
            </c:numRef>
          </c:val>
          <c:extLst>
            <c:ext xmlns:c16="http://schemas.microsoft.com/office/drawing/2014/chart" uri="{C3380CC4-5D6E-409C-BE32-E72D297353CC}">
              <c16:uniqueId val="{00000001-3E84-4EFD-A593-5C588269D6E1}"/>
            </c:ext>
          </c:extLst>
        </c:ser>
        <c:dLbls>
          <c:dLblPos val="inEnd"/>
          <c:showLegendKey val="0"/>
          <c:showVal val="1"/>
          <c:showCatName val="0"/>
          <c:showSerName val="0"/>
          <c:showPercent val="0"/>
          <c:showBubbleSize val="0"/>
        </c:dLbls>
        <c:gapWidth val="219"/>
        <c:overlap val="-27"/>
        <c:axId val="586959376"/>
        <c:axId val="586961016"/>
      </c:barChart>
      <c:catAx>
        <c:axId val="586959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586961016"/>
        <c:crosses val="autoZero"/>
        <c:auto val="1"/>
        <c:lblAlgn val="ctr"/>
        <c:lblOffset val="100"/>
        <c:noMultiLvlLbl val="0"/>
      </c:catAx>
      <c:valAx>
        <c:axId val="586961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959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AU" b="1"/>
              <a:t>Growth of UK goods</a:t>
            </a:r>
            <a:r>
              <a:rPr lang="en-AU" b="1" baseline="0"/>
              <a:t> exports (real prices): </a:t>
            </a:r>
            <a:br>
              <a:rPr lang="en-AU" b="1" baseline="0"/>
            </a:br>
            <a:r>
              <a:rPr lang="en-AU" b="1" baseline="0"/>
              <a:t>1998 </a:t>
            </a:r>
            <a:r>
              <a:rPr lang="en-AU" sz="1400" b="1" i="0" u="none" strike="noStrike" baseline="0">
                <a:effectLst/>
              </a:rPr>
              <a:t>–</a:t>
            </a:r>
            <a:r>
              <a:rPr lang="en-AU" b="1" baseline="0"/>
              <a:t> 2017</a:t>
            </a:r>
            <a:endParaRPr lang="en-AU" b="1"/>
          </a:p>
        </c:rich>
      </c:tx>
      <c:layout>
        <c:manualLayout>
          <c:xMode val="edge"/>
          <c:yMode val="edge"/>
          <c:x val="0.14777680559717862"/>
          <c:y val="4.0789058169328936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'3. Trade in Goods'!$A$53</c:f>
              <c:strCache>
                <c:ptCount val="1"/>
                <c:pt idx="0">
                  <c:v>EU</c:v>
                </c:pt>
              </c:strCache>
            </c:strRef>
          </c:tx>
          <c:spPr>
            <a:solidFill>
              <a:srgbClr val="990000"/>
            </a:solidFill>
            <a:ln w="6350">
              <a:solidFill>
                <a:srgbClr val="000E2A"/>
              </a:solidFill>
            </a:ln>
            <a:effectLst/>
          </c:spPr>
          <c:invertIfNegative val="0"/>
          <c:dPt>
            <c:idx val="0"/>
            <c:invertIfNegative val="0"/>
            <c:bubble3D val="0"/>
            <c:spPr>
              <a:solidFill>
                <a:srgbClr val="990000"/>
              </a:solidFill>
              <a:ln w="6350">
                <a:solidFill>
                  <a:srgbClr val="000E2A"/>
                </a:solidFill>
              </a:ln>
              <a:effectLst/>
            </c:spPr>
            <c:extLst>
              <c:ext xmlns:c16="http://schemas.microsoft.com/office/drawing/2014/chart" uri="{C3380CC4-5D6E-409C-BE32-E72D297353CC}">
                <c16:uniqueId val="{00000006-E661-431B-BFBD-7F607C569F8D}"/>
              </c:ext>
            </c:extLst>
          </c:dPt>
          <c:dPt>
            <c:idx val="1"/>
            <c:invertIfNegative val="0"/>
            <c:bubble3D val="0"/>
            <c:spPr>
              <a:solidFill>
                <a:srgbClr val="990000"/>
              </a:solidFill>
              <a:ln w="6350">
                <a:solidFill>
                  <a:srgbClr val="000E2A"/>
                </a:solidFill>
              </a:ln>
              <a:effectLst/>
            </c:spPr>
            <c:extLst>
              <c:ext xmlns:c16="http://schemas.microsoft.com/office/drawing/2014/chart" uri="{C3380CC4-5D6E-409C-BE32-E72D297353CC}">
                <c16:uniqueId val="{00000009-E661-431B-BFBD-7F607C569F8D}"/>
              </c:ext>
            </c:extLst>
          </c:dPt>
          <c:dLbls>
            <c:numFmt formatCode="[$£-809]#,##0" sourceLinked="0"/>
            <c:spPr>
              <a:noFill/>
              <a:ln>
                <a:noFill/>
              </a:ln>
              <a:effectLst/>
            </c:spPr>
            <c:txPr>
              <a:bodyPr rot="0" spcFirstLastPara="1" vertOverflow="clip" horzOverflow="clip" vert="horz" wrap="square" lIns="0" tIns="19050" rIns="38100" bIns="19050" anchor="ctr" anchorCtr="0">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'3. Trade in Goods'!$B$52:$C$52</c:f>
              <c:strCache>
                <c:ptCount val="2"/>
                <c:pt idx="0">
                  <c:v>Average Exports 1998-2000 </c:v>
                </c:pt>
                <c:pt idx="1">
                  <c:v>Average Exports 2015-17</c:v>
                </c:pt>
              </c:strCache>
            </c:strRef>
          </c:cat>
          <c:val>
            <c:numRef>
              <c:f>'3. Trade in Goods'!$B$53:$C$53</c:f>
              <c:numCache>
                <c:formatCode>0.0</c:formatCode>
                <c:ptCount val="2"/>
                <c:pt idx="0">
                  <c:v>134.06180215848977</c:v>
                </c:pt>
                <c:pt idx="1">
                  <c:v>139.08505841672209</c:v>
                </c:pt>
              </c:numCache>
            </c:numRef>
          </c:val>
          <c:extLst>
            <c:ext xmlns:c16="http://schemas.microsoft.com/office/drawing/2014/chart" uri="{C3380CC4-5D6E-409C-BE32-E72D297353CC}">
              <c16:uniqueId val="{00000000-9535-4690-AC56-4D4BF872B739}"/>
            </c:ext>
          </c:extLst>
        </c:ser>
        <c:ser>
          <c:idx val="1"/>
          <c:order val="1"/>
          <c:tx>
            <c:strRef>
              <c:f>'3. Trade in Goods'!$A$54</c:f>
              <c:strCache>
                <c:ptCount val="1"/>
                <c:pt idx="0">
                  <c:v>Non-EU</c:v>
                </c:pt>
              </c:strCache>
            </c:strRef>
          </c:tx>
          <c:spPr>
            <a:solidFill>
              <a:srgbClr val="002060"/>
            </a:solidFill>
            <a:ln>
              <a:solidFill>
                <a:schemeClr val="tx1"/>
              </a:solidFill>
            </a:ln>
            <a:effectLst/>
          </c:spPr>
          <c:invertIfNegative val="0"/>
          <c:dPt>
            <c:idx val="0"/>
            <c:invertIfNegative val="0"/>
            <c:bubble3D val="0"/>
            <c:spPr>
              <a:solidFill>
                <a:srgbClr val="002060"/>
              </a:solidFill>
              <a:ln w="12700">
                <a:solidFill>
                  <a:schemeClr val="tx1"/>
                </a:solidFill>
              </a:ln>
              <a:effectLst/>
            </c:spPr>
            <c:extLst>
              <c:ext xmlns:c16="http://schemas.microsoft.com/office/drawing/2014/chart" uri="{C3380CC4-5D6E-409C-BE32-E72D297353CC}">
                <c16:uniqueId val="{0000000B-E661-431B-BFBD-7F607C569F8D}"/>
              </c:ext>
            </c:extLst>
          </c:dPt>
          <c:dLbls>
            <c:numFmt formatCode="_-[$£-809]* #,##0_-;\-[$£-809]* #,##0_-;_-[$£-809]*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Goods'!$B$52:$C$52</c:f>
              <c:strCache>
                <c:ptCount val="2"/>
                <c:pt idx="0">
                  <c:v>Average Exports 1998-2000 </c:v>
                </c:pt>
                <c:pt idx="1">
                  <c:v>Average Exports 2015-17</c:v>
                </c:pt>
              </c:strCache>
            </c:strRef>
          </c:cat>
          <c:val>
            <c:numRef>
              <c:f>'3. Trade in Goods'!$B$54:$C$54</c:f>
              <c:numCache>
                <c:formatCode>0.0</c:formatCode>
                <c:ptCount val="2"/>
                <c:pt idx="0">
                  <c:v>87.882717854347518</c:v>
                </c:pt>
                <c:pt idx="1">
                  <c:v>153.07317788157079</c:v>
                </c:pt>
              </c:numCache>
            </c:numRef>
          </c:val>
          <c:extLst>
            <c:ext xmlns:c16="http://schemas.microsoft.com/office/drawing/2014/chart" uri="{C3380CC4-5D6E-409C-BE32-E72D297353CC}">
              <c16:uniqueId val="{00000001-9535-4690-AC56-4D4BF872B739}"/>
            </c:ext>
          </c:extLst>
        </c:ser>
        <c:dLbls>
          <c:dLblPos val="inEnd"/>
          <c:showLegendKey val="0"/>
          <c:showVal val="1"/>
          <c:showCatName val="0"/>
          <c:showSerName val="0"/>
          <c:showPercent val="0"/>
          <c:showBubbleSize val="0"/>
        </c:dLbls>
        <c:gapWidth val="57"/>
        <c:overlap val="-25"/>
        <c:axId val="672123632"/>
        <c:axId val="672122320"/>
      </c:barChart>
      <c:catAx>
        <c:axId val="6721236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72122320"/>
        <c:crosses val="autoZero"/>
        <c:auto val="1"/>
        <c:lblAlgn val="ctr"/>
        <c:lblOffset val="100"/>
        <c:noMultiLvlLbl val="0"/>
      </c:catAx>
      <c:valAx>
        <c:axId val="672122320"/>
        <c:scaling>
          <c:orientation val="minMax"/>
          <c:max val="1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21236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AU" sz="1400" b="1" i="0" u="none" strike="noStrike" kern="1200" spc="0" baseline="0">
                <a:solidFill>
                  <a:schemeClr val="tx1">
                    <a:lumMod val="75000"/>
                    <a:lumOff val="25000"/>
                  </a:schemeClr>
                </a:solidFill>
                <a:latin typeface="+mn-lt"/>
                <a:ea typeface="+mn-ea"/>
                <a:cs typeface="+mn-cs"/>
              </a:defRPr>
            </a:pPr>
            <a:r>
              <a:rPr lang="en-AU" sz="1400" b="1" i="0" u="none" strike="noStrike" kern="1200" spc="0" baseline="0">
                <a:solidFill>
                  <a:schemeClr val="tx1">
                    <a:lumMod val="75000"/>
                    <a:lumOff val="25000"/>
                  </a:schemeClr>
                </a:solidFill>
                <a:latin typeface="+mn-lt"/>
                <a:ea typeface="+mn-ea"/>
                <a:cs typeface="+mn-cs"/>
              </a:rPr>
              <a:t>Change in EU's share of UK trade in goods</a:t>
            </a:r>
          </a:p>
        </c:rich>
      </c:tx>
      <c:overlay val="0"/>
      <c:spPr>
        <a:noFill/>
        <a:ln>
          <a:noFill/>
        </a:ln>
        <a:effectLst/>
      </c:spPr>
      <c:txPr>
        <a:bodyPr rot="0" spcFirstLastPara="1" vertOverflow="ellipsis" vert="horz" wrap="square" anchor="ctr" anchorCtr="1"/>
        <a:lstStyle/>
        <a:p>
          <a:pPr algn="ctr" rtl="0">
            <a:defRPr lang="en-AU"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8.0346603870777841E-2"/>
          <c:y val="0.13588235294117648"/>
          <c:w val="0.89395246154978292"/>
          <c:h val="0.63092584015233388"/>
        </c:manualLayout>
      </c:layout>
      <c:barChart>
        <c:barDir val="col"/>
        <c:grouping val="clustered"/>
        <c:varyColors val="0"/>
        <c:ser>
          <c:idx val="0"/>
          <c:order val="0"/>
          <c:tx>
            <c:strRef>
              <c:f>'3. Trade in Goods'!$B$84</c:f>
              <c:strCache>
                <c:ptCount val="1"/>
                <c:pt idx="0">
                  <c:v>1998</c:v>
                </c:pt>
              </c:strCache>
            </c:strRef>
          </c:tx>
          <c:spPr>
            <a:solidFill>
              <a:srgbClr val="990000"/>
            </a:solidFill>
            <a:ln w="6350">
              <a:solidFill>
                <a:srgbClr val="990000"/>
              </a:solidFill>
            </a:ln>
            <a:effectLst/>
          </c:spPr>
          <c:invertIfNegative val="0"/>
          <c:dPt>
            <c:idx val="0"/>
            <c:invertIfNegative val="0"/>
            <c:bubble3D val="0"/>
            <c:spPr>
              <a:solidFill>
                <a:srgbClr val="990000"/>
              </a:solidFill>
              <a:ln w="6350">
                <a:solidFill>
                  <a:srgbClr val="990000"/>
                </a:solidFill>
              </a:ln>
              <a:effectLst/>
            </c:spPr>
            <c:extLst>
              <c:ext xmlns:c16="http://schemas.microsoft.com/office/drawing/2014/chart" uri="{C3380CC4-5D6E-409C-BE32-E72D297353CC}">
                <c16:uniqueId val="{00000007-22A1-42A8-B018-957296E12E56}"/>
              </c:ext>
            </c:extLst>
          </c:dPt>
          <c:dLbls>
            <c:spPr>
              <a:noFill/>
              <a:ln>
                <a:noFill/>
              </a:ln>
              <a:effectLst/>
            </c:spPr>
            <c:txPr>
              <a:bodyPr rot="0" spcFirstLastPara="1" vertOverflow="ellipsis" vert="horz" wrap="square" anchor="ctr" anchorCtr="0"/>
              <a:lstStyle/>
              <a:p>
                <a:pPr algn="ctr">
                  <a:defRPr lang="en-AU"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Goods'!$A$85:$A$86</c:f>
              <c:strCache>
                <c:ptCount val="2"/>
                <c:pt idx="0">
                  <c:v>Exports</c:v>
                </c:pt>
                <c:pt idx="1">
                  <c:v>Imports</c:v>
                </c:pt>
              </c:strCache>
            </c:strRef>
          </c:cat>
          <c:val>
            <c:numRef>
              <c:f>'3. Trade in Goods'!$B$85:$B$86</c:f>
              <c:numCache>
                <c:formatCode>0.0%</c:formatCode>
                <c:ptCount val="2"/>
                <c:pt idx="0">
                  <c:v>0.60403294548897002</c:v>
                </c:pt>
                <c:pt idx="1">
                  <c:v>0.55124986226656536</c:v>
                </c:pt>
              </c:numCache>
            </c:numRef>
          </c:val>
          <c:extLst>
            <c:ext xmlns:c16="http://schemas.microsoft.com/office/drawing/2014/chart" uri="{C3380CC4-5D6E-409C-BE32-E72D297353CC}">
              <c16:uniqueId val="{00000000-22A1-42A8-B018-957296E12E56}"/>
            </c:ext>
          </c:extLst>
        </c:ser>
        <c:ser>
          <c:idx val="1"/>
          <c:order val="1"/>
          <c:tx>
            <c:strRef>
              <c:f>'3. Trade in Goods'!$C$84</c:f>
              <c:strCache>
                <c:ptCount val="1"/>
                <c:pt idx="0">
                  <c:v>2017</c:v>
                </c:pt>
              </c:strCache>
            </c:strRef>
          </c:tx>
          <c:spPr>
            <a:solidFill>
              <a:srgbClr val="002060"/>
            </a:solidFill>
            <a:ln w="9525">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Goods'!$A$85:$A$86</c:f>
              <c:strCache>
                <c:ptCount val="2"/>
                <c:pt idx="0">
                  <c:v>Exports</c:v>
                </c:pt>
                <c:pt idx="1">
                  <c:v>Imports</c:v>
                </c:pt>
              </c:strCache>
            </c:strRef>
          </c:cat>
          <c:val>
            <c:numRef>
              <c:f>'3. Trade in Goods'!$C$85:$C$86</c:f>
              <c:numCache>
                <c:formatCode>0.0%</c:formatCode>
                <c:ptCount val="2"/>
                <c:pt idx="0">
                  <c:v>0.47606071346459172</c:v>
                </c:pt>
                <c:pt idx="1">
                  <c:v>0.54603932470587158</c:v>
                </c:pt>
              </c:numCache>
            </c:numRef>
          </c:val>
          <c:extLst>
            <c:ext xmlns:c16="http://schemas.microsoft.com/office/drawing/2014/chart" uri="{C3380CC4-5D6E-409C-BE32-E72D297353CC}">
              <c16:uniqueId val="{00000001-22A1-42A8-B018-957296E12E56}"/>
            </c:ext>
          </c:extLst>
        </c:ser>
        <c:dLbls>
          <c:dLblPos val="inEnd"/>
          <c:showLegendKey val="0"/>
          <c:showVal val="1"/>
          <c:showCatName val="0"/>
          <c:showSerName val="0"/>
          <c:showPercent val="0"/>
          <c:showBubbleSize val="0"/>
        </c:dLbls>
        <c:gapWidth val="219"/>
        <c:overlap val="-27"/>
        <c:axId val="608408488"/>
        <c:axId val="608408816"/>
      </c:barChart>
      <c:catAx>
        <c:axId val="608408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608408816"/>
        <c:crosses val="autoZero"/>
        <c:auto val="1"/>
        <c:lblAlgn val="ctr"/>
        <c:lblOffset val="100"/>
        <c:noMultiLvlLbl val="0"/>
      </c:catAx>
      <c:valAx>
        <c:axId val="608408816"/>
        <c:scaling>
          <c:orientation val="minMax"/>
          <c:max val="0.7500000000000001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08408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5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US" b="1">
                <a:solidFill>
                  <a:schemeClr val="tx1">
                    <a:lumMod val="85000"/>
                    <a:lumOff val="15000"/>
                  </a:schemeClr>
                </a:solidFill>
              </a:rPr>
              <a:t>Annual</a:t>
            </a:r>
            <a:r>
              <a:rPr lang="en-US" b="1" baseline="0">
                <a:solidFill>
                  <a:schemeClr val="tx1">
                    <a:lumMod val="85000"/>
                    <a:lumOff val="15000"/>
                  </a:schemeClr>
                </a:solidFill>
              </a:rPr>
              <a:t> g</a:t>
            </a:r>
            <a:r>
              <a:rPr lang="en-US" b="1">
                <a:solidFill>
                  <a:schemeClr val="tx1">
                    <a:lumMod val="85000"/>
                    <a:lumOff val="15000"/>
                  </a:schemeClr>
                </a:solidFill>
              </a:rPr>
              <a:t>rowth of UK exports: 1998</a:t>
            </a:r>
            <a:r>
              <a:rPr lang="en-US" b="1" baseline="0">
                <a:solidFill>
                  <a:schemeClr val="tx1">
                    <a:lumMod val="85000"/>
                    <a:lumOff val="15000"/>
                  </a:schemeClr>
                </a:solidFill>
              </a:rPr>
              <a:t> </a:t>
            </a:r>
            <a:r>
              <a:rPr lang="en-US" b="1">
                <a:solidFill>
                  <a:schemeClr val="tx1">
                    <a:lumMod val="85000"/>
                    <a:lumOff val="15000"/>
                  </a:schemeClr>
                </a:solidFill>
                <a:latin typeface="Calibri" panose="020F0502020204030204" pitchFamily="34" charset="0"/>
                <a:cs typeface="Calibri" panose="020F0502020204030204" pitchFamily="34" charset="0"/>
              </a:rPr>
              <a:t>‒ </a:t>
            </a:r>
            <a:r>
              <a:rPr lang="en-US" b="1">
                <a:solidFill>
                  <a:schemeClr val="tx1">
                    <a:lumMod val="85000"/>
                    <a:lumOff val="15000"/>
                  </a:schemeClr>
                </a:solidFill>
              </a:rPr>
              <a:t>2017</a:t>
            </a:r>
          </a:p>
        </c:rich>
      </c:tx>
      <c:layout>
        <c:manualLayout>
          <c:xMode val="edge"/>
          <c:yMode val="edge"/>
          <c:x val="0.22173542078848502"/>
          <c:y val="3.687467911072928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8.6526701566249253E-2"/>
          <c:y val="0.11345561918396566"/>
          <c:w val="0.89125107193681929"/>
          <c:h val="0.55333184204247199"/>
        </c:manualLayout>
      </c:layout>
      <c:barChart>
        <c:barDir val="col"/>
        <c:grouping val="clustered"/>
        <c:varyColors val="0"/>
        <c:ser>
          <c:idx val="0"/>
          <c:order val="0"/>
          <c:tx>
            <c:strRef>
              <c:f>'1. All Trade'!$B$41</c:f>
              <c:strCache>
                <c:ptCount val="1"/>
                <c:pt idx="0">
                  <c:v>CAGR 1998/99 - 2017</c:v>
                </c:pt>
              </c:strCache>
            </c:strRef>
          </c:tx>
          <c:spPr>
            <a:solidFill>
              <a:schemeClr val="accent1"/>
            </a:solidFill>
            <a:ln w="9525">
              <a:solidFill>
                <a:sysClr val="windowText" lastClr="000000"/>
              </a:solidFill>
            </a:ln>
            <a:effectLst/>
          </c:spPr>
          <c:invertIfNegative val="0"/>
          <c:dPt>
            <c:idx val="0"/>
            <c:invertIfNegative val="0"/>
            <c:bubble3D val="0"/>
            <c:spPr>
              <a:solidFill>
                <a:srgbClr val="002060"/>
              </a:solidFill>
              <a:ln w="9525">
                <a:solidFill>
                  <a:sysClr val="windowText" lastClr="000000"/>
                </a:solidFill>
              </a:ln>
              <a:effectLst/>
            </c:spPr>
            <c:extLst>
              <c:ext xmlns:c16="http://schemas.microsoft.com/office/drawing/2014/chart" uri="{C3380CC4-5D6E-409C-BE32-E72D297353CC}">
                <c16:uniqueId val="{00000003-2F7C-4282-A9F6-3F78B2CA2334}"/>
              </c:ext>
            </c:extLst>
          </c:dPt>
          <c:dPt>
            <c:idx val="1"/>
            <c:invertIfNegative val="0"/>
            <c:bubble3D val="0"/>
            <c:spPr>
              <a:solidFill>
                <a:srgbClr val="376891"/>
              </a:solidFill>
              <a:ln w="9525">
                <a:solidFill>
                  <a:sysClr val="windowText" lastClr="000000"/>
                </a:solidFill>
              </a:ln>
              <a:effectLst/>
            </c:spPr>
            <c:extLst>
              <c:ext xmlns:c16="http://schemas.microsoft.com/office/drawing/2014/chart" uri="{C3380CC4-5D6E-409C-BE32-E72D297353CC}">
                <c16:uniqueId val="{00000012-2F7C-4282-A9F6-3F78B2CA2334}"/>
              </c:ext>
            </c:extLst>
          </c:dPt>
          <c:dPt>
            <c:idx val="2"/>
            <c:invertIfNegative val="0"/>
            <c:bubble3D val="0"/>
            <c:spPr>
              <a:solidFill>
                <a:srgbClr val="D06E85"/>
              </a:solidFill>
              <a:ln w="9525">
                <a:solidFill>
                  <a:sysClr val="windowText" lastClr="000000"/>
                </a:solidFill>
              </a:ln>
              <a:effectLst/>
            </c:spPr>
            <c:extLst>
              <c:ext xmlns:c16="http://schemas.microsoft.com/office/drawing/2014/chart" uri="{C3380CC4-5D6E-409C-BE32-E72D297353CC}">
                <c16:uniqueId val="{00000009-2F7C-4282-A9F6-3F78B2CA2334}"/>
              </c:ext>
            </c:extLst>
          </c:dPt>
          <c:dPt>
            <c:idx val="3"/>
            <c:invertIfNegative val="0"/>
            <c:bubble3D val="0"/>
            <c:spPr>
              <a:solidFill>
                <a:srgbClr val="C00000"/>
              </a:solidFill>
              <a:ln w="9525">
                <a:solidFill>
                  <a:sysClr val="windowText" lastClr="000000"/>
                </a:solidFill>
              </a:ln>
              <a:effectLst/>
            </c:spPr>
            <c:extLst>
              <c:ext xmlns:c16="http://schemas.microsoft.com/office/drawing/2014/chart" uri="{C3380CC4-5D6E-409C-BE32-E72D297353CC}">
                <c16:uniqueId val="{00000021-2F7C-4282-A9F6-3F78B2CA2334}"/>
              </c:ext>
            </c:extLst>
          </c:dPt>
          <c:dLbls>
            <c:dLbl>
              <c:idx val="3"/>
              <c:layout>
                <c:manualLayout>
                  <c:x val="2.3839388897090989E-3"/>
                  <c:y val="9.4937765731975179E-3"/>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2F7C-4282-A9F6-3F78B2CA2334}"/>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Trade'!$A$42:$A$45</c:f>
              <c:strCache>
                <c:ptCount val="4"/>
                <c:pt idx="0">
                  <c:v>Services to non-EU countries</c:v>
                </c:pt>
                <c:pt idx="1">
                  <c:v>Services to EU </c:v>
                </c:pt>
                <c:pt idx="2">
                  <c:v>Goods to non-EU countries</c:v>
                </c:pt>
                <c:pt idx="3">
                  <c:v>Goods to EU</c:v>
                </c:pt>
              </c:strCache>
            </c:strRef>
          </c:cat>
          <c:val>
            <c:numRef>
              <c:f>'1. All Trade'!$B$42:$B$45</c:f>
              <c:numCache>
                <c:formatCode>0.0%</c:formatCode>
                <c:ptCount val="4"/>
                <c:pt idx="0">
                  <c:v>5.5755152274452824E-2</c:v>
                </c:pt>
                <c:pt idx="1">
                  <c:v>5.2002671047515214E-2</c:v>
                </c:pt>
                <c:pt idx="2">
                  <c:v>3.3180528731200809E-2</c:v>
                </c:pt>
                <c:pt idx="3">
                  <c:v>2.1661529189782591E-3</c:v>
                </c:pt>
              </c:numCache>
            </c:numRef>
          </c:val>
          <c:extLst>
            <c:ext xmlns:c16="http://schemas.microsoft.com/office/drawing/2014/chart" uri="{C3380CC4-5D6E-409C-BE32-E72D297353CC}">
              <c16:uniqueId val="{00000000-2F7C-4282-A9F6-3F78B2CA2334}"/>
            </c:ext>
          </c:extLst>
        </c:ser>
        <c:dLbls>
          <c:dLblPos val="inEnd"/>
          <c:showLegendKey val="0"/>
          <c:showVal val="1"/>
          <c:showCatName val="0"/>
          <c:showSerName val="0"/>
          <c:showPercent val="0"/>
          <c:showBubbleSize val="0"/>
        </c:dLbls>
        <c:gapWidth val="219"/>
        <c:overlap val="-27"/>
        <c:axId val="673336432"/>
        <c:axId val="673332496"/>
      </c:barChart>
      <c:catAx>
        <c:axId val="67333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endParaRPr lang="en-US"/>
          </a:p>
        </c:txPr>
        <c:crossAx val="673332496"/>
        <c:crosses val="autoZero"/>
        <c:auto val="1"/>
        <c:lblAlgn val="ctr"/>
        <c:lblOffset val="100"/>
        <c:noMultiLvlLbl val="0"/>
      </c:catAx>
      <c:valAx>
        <c:axId val="673332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85000"/>
                    <a:lumOff val="15000"/>
                  </a:schemeClr>
                </a:solidFill>
                <a:latin typeface="+mn-lt"/>
                <a:ea typeface="+mn-ea"/>
                <a:cs typeface="+mn-cs"/>
              </a:defRPr>
            </a:pPr>
            <a:endParaRPr lang="en-US"/>
          </a:p>
        </c:txPr>
        <c:crossAx val="673336432"/>
        <c:crosses val="autoZero"/>
        <c:crossBetween val="between"/>
      </c:valAx>
      <c:spPr>
        <a:noFill/>
        <a:ln>
          <a:noFill/>
        </a:ln>
        <a:effectLst/>
      </c:spPr>
    </c:plotArea>
    <c:plotVisOnly val="1"/>
    <c:dispBlanksAs val="gap"/>
    <c:showDLblsOverMax val="0"/>
  </c:chart>
  <c:spPr>
    <a:solidFill>
      <a:schemeClr val="bg1"/>
    </a:solidFill>
    <a:ln w="9525" cap="flat" cmpd="sng" algn="ctr">
      <a:solidFill>
        <a:srgbClr val="062B03"/>
      </a:solidFill>
      <a:round/>
    </a:ln>
    <a:effectLst/>
  </c:spPr>
  <c:txPr>
    <a:bodyPr/>
    <a:lstStyle/>
    <a:p>
      <a:pPr>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AU" b="1">
                <a:solidFill>
                  <a:schemeClr val="tx1">
                    <a:lumMod val="85000"/>
                    <a:lumOff val="15000"/>
                  </a:schemeClr>
                </a:solidFill>
              </a:rPr>
              <a:t>Export/import</a:t>
            </a:r>
            <a:r>
              <a:rPr lang="en-AU" b="1" baseline="0">
                <a:solidFill>
                  <a:schemeClr val="tx1">
                    <a:lumMod val="85000"/>
                    <a:lumOff val="15000"/>
                  </a:schemeClr>
                </a:solidFill>
              </a:rPr>
              <a:t> ratios for principal EU economies: 2006 </a:t>
            </a:r>
            <a:r>
              <a:rPr lang="en-AU" b="1" baseline="0">
                <a:solidFill>
                  <a:schemeClr val="tx1">
                    <a:lumMod val="85000"/>
                    <a:lumOff val="15000"/>
                  </a:schemeClr>
                </a:solidFill>
                <a:latin typeface="Calibri" panose="020F0502020204030204" pitchFamily="34" charset="0"/>
                <a:cs typeface="Calibri" panose="020F0502020204030204" pitchFamily="34" charset="0"/>
              </a:rPr>
              <a:t>‒ 2015</a:t>
            </a:r>
            <a:endParaRPr lang="en-AU" b="1">
              <a:solidFill>
                <a:schemeClr val="tx1">
                  <a:lumMod val="85000"/>
                  <a:lumOff val="15000"/>
                </a:schemeClr>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lineChart>
        <c:grouping val="standard"/>
        <c:varyColors val="0"/>
        <c:ser>
          <c:idx val="0"/>
          <c:order val="0"/>
          <c:tx>
            <c:strRef>
              <c:f>'3. Trade in Goods'!$A$152</c:f>
              <c:strCache>
                <c:ptCount val="1"/>
                <c:pt idx="0">
                  <c:v>UK</c:v>
                </c:pt>
              </c:strCache>
            </c:strRef>
          </c:tx>
          <c:spPr>
            <a:ln w="28575" cap="rnd">
              <a:solidFill>
                <a:srgbClr val="990000"/>
              </a:solidFill>
              <a:round/>
            </a:ln>
            <a:effectLst/>
          </c:spPr>
          <c:marker>
            <c:symbol val="none"/>
          </c:marker>
          <c:cat>
            <c:numRef>
              <c:f>'3. Trade in Goods'!$B$151:$K$151</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'3. Trade in Goods'!$B$152:$K$152</c:f>
              <c:numCache>
                <c:formatCode>General</c:formatCode>
                <c:ptCount val="10"/>
                <c:pt idx="0">
                  <c:v>82</c:v>
                </c:pt>
                <c:pt idx="1">
                  <c:v>75</c:v>
                </c:pt>
                <c:pt idx="2">
                  <c:v>78</c:v>
                </c:pt>
                <c:pt idx="3">
                  <c:v>76</c:v>
                </c:pt>
                <c:pt idx="4">
                  <c:v>76</c:v>
                </c:pt>
                <c:pt idx="5">
                  <c:v>78</c:v>
                </c:pt>
                <c:pt idx="6">
                  <c:v>72</c:v>
                </c:pt>
                <c:pt idx="7">
                  <c:v>69</c:v>
                </c:pt>
                <c:pt idx="8">
                  <c:v>66</c:v>
                </c:pt>
                <c:pt idx="9">
                  <c:v>61</c:v>
                </c:pt>
              </c:numCache>
            </c:numRef>
          </c:val>
          <c:smooth val="0"/>
          <c:extLst>
            <c:ext xmlns:c16="http://schemas.microsoft.com/office/drawing/2014/chart" uri="{C3380CC4-5D6E-409C-BE32-E72D297353CC}">
              <c16:uniqueId val="{00000000-5325-439A-AA03-C65E9BDE02B7}"/>
            </c:ext>
          </c:extLst>
        </c:ser>
        <c:ser>
          <c:idx val="1"/>
          <c:order val="1"/>
          <c:tx>
            <c:strRef>
              <c:f>'3. Trade in Goods'!$A$153</c:f>
              <c:strCache>
                <c:ptCount val="1"/>
                <c:pt idx="0">
                  <c:v>Germany</c:v>
                </c:pt>
              </c:strCache>
            </c:strRef>
          </c:tx>
          <c:spPr>
            <a:ln w="28575" cap="rnd">
              <a:solidFill>
                <a:srgbClr val="002060"/>
              </a:solidFill>
              <a:round/>
            </a:ln>
            <a:effectLst/>
          </c:spPr>
          <c:marker>
            <c:symbol val="none"/>
          </c:marker>
          <c:cat>
            <c:numRef>
              <c:f>'3. Trade in Goods'!$B$151:$K$151</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'3. Trade in Goods'!$B$153:$K$153</c:f>
              <c:numCache>
                <c:formatCode>General</c:formatCode>
                <c:ptCount val="10"/>
                <c:pt idx="0">
                  <c:v>122</c:v>
                </c:pt>
                <c:pt idx="1">
                  <c:v>126</c:v>
                </c:pt>
                <c:pt idx="2">
                  <c:v>122</c:v>
                </c:pt>
                <c:pt idx="3">
                  <c:v>117</c:v>
                </c:pt>
                <c:pt idx="4">
                  <c:v>114</c:v>
                </c:pt>
                <c:pt idx="5">
                  <c:v>110</c:v>
                </c:pt>
                <c:pt idx="6">
                  <c:v>108</c:v>
                </c:pt>
                <c:pt idx="7">
                  <c:v>108</c:v>
                </c:pt>
                <c:pt idx="8">
                  <c:v>109</c:v>
                </c:pt>
                <c:pt idx="9">
                  <c:v>112</c:v>
                </c:pt>
              </c:numCache>
            </c:numRef>
          </c:val>
          <c:smooth val="0"/>
          <c:extLst>
            <c:ext xmlns:c16="http://schemas.microsoft.com/office/drawing/2014/chart" uri="{C3380CC4-5D6E-409C-BE32-E72D297353CC}">
              <c16:uniqueId val="{00000001-5325-439A-AA03-C65E9BDE02B7}"/>
            </c:ext>
          </c:extLst>
        </c:ser>
        <c:ser>
          <c:idx val="2"/>
          <c:order val="2"/>
          <c:tx>
            <c:strRef>
              <c:f>'3. Trade in Goods'!$A$154</c:f>
              <c:strCache>
                <c:ptCount val="1"/>
                <c:pt idx="0">
                  <c:v>France</c:v>
                </c:pt>
              </c:strCache>
            </c:strRef>
          </c:tx>
          <c:spPr>
            <a:ln w="28575" cap="rnd">
              <a:solidFill>
                <a:schemeClr val="accent6">
                  <a:lumMod val="50000"/>
                </a:schemeClr>
              </a:solidFill>
              <a:round/>
            </a:ln>
            <a:effectLst/>
          </c:spPr>
          <c:marker>
            <c:symbol val="none"/>
          </c:marker>
          <c:cat>
            <c:numRef>
              <c:f>'3. Trade in Goods'!$B$151:$K$151</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'3. Trade in Goods'!$B$154:$K$154</c:f>
              <c:numCache>
                <c:formatCode>General</c:formatCode>
                <c:ptCount val="10"/>
                <c:pt idx="0">
                  <c:v>87</c:v>
                </c:pt>
                <c:pt idx="1">
                  <c:v>84</c:v>
                </c:pt>
                <c:pt idx="2">
                  <c:v>81</c:v>
                </c:pt>
                <c:pt idx="3">
                  <c:v>78</c:v>
                </c:pt>
                <c:pt idx="4">
                  <c:v>76</c:v>
                </c:pt>
                <c:pt idx="5">
                  <c:v>75</c:v>
                </c:pt>
                <c:pt idx="6">
                  <c:v>74</c:v>
                </c:pt>
                <c:pt idx="7">
                  <c:v>75</c:v>
                </c:pt>
                <c:pt idx="8">
                  <c:v>76</c:v>
                </c:pt>
                <c:pt idx="9">
                  <c:v>76</c:v>
                </c:pt>
              </c:numCache>
            </c:numRef>
          </c:val>
          <c:smooth val="0"/>
          <c:extLst>
            <c:ext xmlns:c16="http://schemas.microsoft.com/office/drawing/2014/chart" uri="{C3380CC4-5D6E-409C-BE32-E72D297353CC}">
              <c16:uniqueId val="{00000002-5325-439A-AA03-C65E9BDE02B7}"/>
            </c:ext>
          </c:extLst>
        </c:ser>
        <c:ser>
          <c:idx val="3"/>
          <c:order val="3"/>
          <c:tx>
            <c:strRef>
              <c:f>'3. Trade in Goods'!$A$155</c:f>
              <c:strCache>
                <c:ptCount val="1"/>
                <c:pt idx="0">
                  <c:v>Italy </c:v>
                </c:pt>
              </c:strCache>
            </c:strRef>
          </c:tx>
          <c:spPr>
            <a:ln w="28575" cap="rnd">
              <a:solidFill>
                <a:schemeClr val="accent1"/>
              </a:solidFill>
              <a:round/>
            </a:ln>
            <a:effectLst/>
          </c:spPr>
          <c:marker>
            <c:symbol val="none"/>
          </c:marker>
          <c:cat>
            <c:numRef>
              <c:f>'3. Trade in Goods'!$B$151:$K$151</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'3. Trade in Goods'!$B$155:$K$155</c:f>
              <c:numCache>
                <c:formatCode>General</c:formatCode>
                <c:ptCount val="10"/>
                <c:pt idx="0">
                  <c:v>101</c:v>
                </c:pt>
                <c:pt idx="1">
                  <c:v>104</c:v>
                </c:pt>
                <c:pt idx="2">
                  <c:v>105</c:v>
                </c:pt>
                <c:pt idx="3">
                  <c:v>99</c:v>
                </c:pt>
                <c:pt idx="4">
                  <c:v>96</c:v>
                </c:pt>
                <c:pt idx="5">
                  <c:v>98</c:v>
                </c:pt>
                <c:pt idx="6">
                  <c:v>105</c:v>
                </c:pt>
                <c:pt idx="7">
                  <c:v>105</c:v>
                </c:pt>
                <c:pt idx="8">
                  <c:v>107</c:v>
                </c:pt>
                <c:pt idx="9">
                  <c:v>105</c:v>
                </c:pt>
              </c:numCache>
            </c:numRef>
          </c:val>
          <c:smooth val="0"/>
          <c:extLst>
            <c:ext xmlns:c16="http://schemas.microsoft.com/office/drawing/2014/chart" uri="{C3380CC4-5D6E-409C-BE32-E72D297353CC}">
              <c16:uniqueId val="{00000003-5325-439A-AA03-C65E9BDE02B7}"/>
            </c:ext>
          </c:extLst>
        </c:ser>
        <c:ser>
          <c:idx val="4"/>
          <c:order val="4"/>
          <c:tx>
            <c:strRef>
              <c:f>'3. Trade in Goods'!$A$156</c:f>
              <c:strCache>
                <c:ptCount val="1"/>
                <c:pt idx="0">
                  <c:v>Spain</c:v>
                </c:pt>
              </c:strCache>
            </c:strRef>
          </c:tx>
          <c:spPr>
            <a:ln w="28575" cap="rnd">
              <a:solidFill>
                <a:schemeClr val="accent6">
                  <a:lumMod val="60000"/>
                  <a:lumOff val="40000"/>
                </a:schemeClr>
              </a:solidFill>
              <a:round/>
            </a:ln>
            <a:effectLst/>
          </c:spPr>
          <c:marker>
            <c:symbol val="none"/>
          </c:marker>
          <c:cat>
            <c:numRef>
              <c:f>'3. Trade in Goods'!$B$151:$K$151</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'3. Trade in Goods'!$B$156:$K$156</c:f>
              <c:numCache>
                <c:formatCode>General</c:formatCode>
                <c:ptCount val="10"/>
                <c:pt idx="0">
                  <c:v>75</c:v>
                </c:pt>
                <c:pt idx="1">
                  <c:v>73</c:v>
                </c:pt>
                <c:pt idx="2">
                  <c:v>79</c:v>
                </c:pt>
                <c:pt idx="3">
                  <c:v>87</c:v>
                </c:pt>
                <c:pt idx="4">
                  <c:v>91</c:v>
                </c:pt>
                <c:pt idx="5">
                  <c:v>95</c:v>
                </c:pt>
                <c:pt idx="6">
                  <c:v>103</c:v>
                </c:pt>
                <c:pt idx="7">
                  <c:v>106</c:v>
                </c:pt>
                <c:pt idx="8">
                  <c:v>101</c:v>
                </c:pt>
                <c:pt idx="9">
                  <c:v>98</c:v>
                </c:pt>
              </c:numCache>
            </c:numRef>
          </c:val>
          <c:smooth val="0"/>
          <c:extLst>
            <c:ext xmlns:c16="http://schemas.microsoft.com/office/drawing/2014/chart" uri="{C3380CC4-5D6E-409C-BE32-E72D297353CC}">
              <c16:uniqueId val="{00000004-5325-439A-AA03-C65E9BDE02B7}"/>
            </c:ext>
          </c:extLst>
        </c:ser>
        <c:dLbls>
          <c:showLegendKey val="0"/>
          <c:showVal val="0"/>
          <c:showCatName val="0"/>
          <c:showSerName val="0"/>
          <c:showPercent val="0"/>
          <c:showBubbleSize val="0"/>
        </c:dLbls>
        <c:smooth val="0"/>
        <c:axId val="696843592"/>
        <c:axId val="696839328"/>
      </c:lineChart>
      <c:catAx>
        <c:axId val="696843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crossAx val="696839328"/>
        <c:crosses val="autoZero"/>
        <c:auto val="1"/>
        <c:lblAlgn val="ctr"/>
        <c:lblOffset val="100"/>
        <c:noMultiLvlLbl val="0"/>
      </c:catAx>
      <c:valAx>
        <c:axId val="696839328"/>
        <c:scaling>
          <c:orientation val="minMax"/>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85000"/>
                        <a:lumOff val="15000"/>
                      </a:schemeClr>
                    </a:solidFill>
                    <a:latin typeface="+mn-lt"/>
                    <a:ea typeface="+mn-ea"/>
                    <a:cs typeface="+mn-cs"/>
                  </a:defRPr>
                </a:pPr>
                <a:r>
                  <a:rPr lang="en-AU" b="1">
                    <a:solidFill>
                      <a:schemeClr val="tx1">
                        <a:lumMod val="85000"/>
                        <a:lumOff val="15000"/>
                      </a:schemeClr>
                    </a:solidFill>
                  </a:rPr>
                  <a:t>% exports / imports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85000"/>
                      <a:lumOff val="15000"/>
                    </a:schemeClr>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85000"/>
                    <a:lumOff val="15000"/>
                  </a:schemeClr>
                </a:solidFill>
                <a:latin typeface="+mn-lt"/>
                <a:ea typeface="+mn-ea"/>
                <a:cs typeface="+mn-cs"/>
              </a:defRPr>
            </a:pPr>
            <a:endParaRPr lang="en-US"/>
          </a:p>
        </c:txPr>
        <c:crossAx val="696843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062B03"/>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AU" b="1">
                <a:solidFill>
                  <a:schemeClr val="tx1">
                    <a:lumMod val="85000"/>
                    <a:lumOff val="15000"/>
                  </a:schemeClr>
                </a:solidFill>
              </a:rPr>
              <a:t>Proportion of manufacturing</a:t>
            </a:r>
            <a:r>
              <a:rPr lang="en-AU" b="1" baseline="0">
                <a:solidFill>
                  <a:schemeClr val="tx1">
                    <a:lumMod val="85000"/>
                    <a:lumOff val="15000"/>
                  </a:schemeClr>
                </a:solidFill>
              </a:rPr>
              <a:t> in UK goods exports: 1998 - 2017</a:t>
            </a:r>
            <a:endParaRPr lang="en-AU" b="1">
              <a:solidFill>
                <a:schemeClr val="tx1">
                  <a:lumMod val="85000"/>
                  <a:lumOff val="15000"/>
                </a:schemeClr>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0.18129316976551635"/>
          <c:y val="0.17865740740740743"/>
          <c:w val="0.7851019476398885"/>
          <c:h val="0.59104913969087192"/>
        </c:manualLayout>
      </c:layout>
      <c:barChart>
        <c:barDir val="col"/>
        <c:grouping val="stacked"/>
        <c:varyColors val="0"/>
        <c:ser>
          <c:idx val="0"/>
          <c:order val="0"/>
          <c:tx>
            <c:strRef>
              <c:f>'3. Trade in Goods'!$A$36</c:f>
              <c:strCache>
                <c:ptCount val="1"/>
                <c:pt idx="0">
                  <c:v>Manufactured products</c:v>
                </c:pt>
              </c:strCache>
            </c:strRef>
          </c:tx>
          <c:spPr>
            <a:solidFill>
              <a:srgbClr val="002060"/>
            </a:solidFill>
            <a:ln>
              <a:solidFill>
                <a:schemeClr val="tx1"/>
              </a:solidFill>
            </a:ln>
            <a:effectLst/>
          </c:spPr>
          <c:invertIfNegative val="0"/>
          <c:dLbls>
            <c:dLbl>
              <c:idx val="0"/>
              <c:tx>
                <c:rich>
                  <a:bodyPr/>
                  <a:lstStyle/>
                  <a:p>
                    <a:r>
                      <a:rPr lang="en-US"/>
                      <a:t>91.6%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8B-4047-9840-A8C0320C69A0}"/>
                </c:ext>
              </c:extLst>
            </c:dLbl>
            <c:dLbl>
              <c:idx val="1"/>
              <c:tx>
                <c:rich>
                  <a:bodyPr/>
                  <a:lstStyle/>
                  <a:p>
                    <a:r>
                      <a:rPr lang="en-US"/>
                      <a:t>89.2%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8B-4047-9840-A8C0320C69A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 Trade in Goods'!$B$35:$D$35</c15:sqref>
                  </c15:fullRef>
                </c:ext>
              </c:extLst>
              <c:f>'3. Trade in Goods'!$B$35:$C$35</c:f>
              <c:strCache>
                <c:ptCount val="2"/>
                <c:pt idx="0">
                  <c:v>1998</c:v>
                </c:pt>
                <c:pt idx="1">
                  <c:v>2017</c:v>
                </c:pt>
              </c:strCache>
            </c:strRef>
          </c:cat>
          <c:val>
            <c:numRef>
              <c:extLst>
                <c:ext xmlns:c15="http://schemas.microsoft.com/office/drawing/2012/chart" uri="{02D57815-91ED-43cb-92C2-25804820EDAC}">
                  <c15:fullRef>
                    <c15:sqref>'3. Trade in Goods'!$B$36:$D$36</c15:sqref>
                  </c15:fullRef>
                </c:ext>
              </c:extLst>
              <c:f>'3. Trade in Goods'!$B$36:$C$36</c:f>
              <c:numCache>
                <c:formatCode>0.0</c:formatCode>
                <c:ptCount val="2"/>
                <c:pt idx="0">
                  <c:v>151.19999999999999</c:v>
                </c:pt>
                <c:pt idx="1">
                  <c:v>302.10000000000002</c:v>
                </c:pt>
              </c:numCache>
            </c:numRef>
          </c:val>
          <c:extLst>
            <c:ext xmlns:c16="http://schemas.microsoft.com/office/drawing/2014/chart" uri="{C3380CC4-5D6E-409C-BE32-E72D297353CC}">
              <c16:uniqueId val="{00000000-1469-4566-900A-1E589FFE5691}"/>
            </c:ext>
          </c:extLst>
        </c:ser>
        <c:ser>
          <c:idx val="1"/>
          <c:order val="1"/>
          <c:tx>
            <c:strRef>
              <c:f>'3. Trade in Goods'!$A$37</c:f>
              <c:strCache>
                <c:ptCount val="1"/>
                <c:pt idx="0">
                  <c:v>Non-Manufactured poducts</c:v>
                </c:pt>
              </c:strCache>
            </c:strRef>
          </c:tx>
          <c:spPr>
            <a:solidFill>
              <a:srgbClr val="C00000"/>
            </a:solidFill>
            <a:ln>
              <a:solidFill>
                <a:srgbClr val="990000"/>
              </a:solidFill>
            </a:ln>
            <a:effectLst/>
          </c:spPr>
          <c:invertIfNegative val="0"/>
          <c:cat>
            <c:strRef>
              <c:extLst>
                <c:ext xmlns:c15="http://schemas.microsoft.com/office/drawing/2012/chart" uri="{02D57815-91ED-43cb-92C2-25804820EDAC}">
                  <c15:fullRef>
                    <c15:sqref>'3. Trade in Goods'!$B$35:$D$35</c15:sqref>
                  </c15:fullRef>
                </c:ext>
              </c:extLst>
              <c:f>'3. Trade in Goods'!$B$35:$C$35</c:f>
              <c:strCache>
                <c:ptCount val="2"/>
                <c:pt idx="0">
                  <c:v>1998</c:v>
                </c:pt>
                <c:pt idx="1">
                  <c:v>2017</c:v>
                </c:pt>
              </c:strCache>
            </c:strRef>
          </c:cat>
          <c:val>
            <c:numRef>
              <c:extLst>
                <c:ext xmlns:c15="http://schemas.microsoft.com/office/drawing/2012/chart" uri="{02D57815-91ED-43cb-92C2-25804820EDAC}">
                  <c15:fullRef>
                    <c15:sqref>'3. Trade in Goods'!$B$37:$D$37</c15:sqref>
                  </c15:fullRef>
                </c:ext>
              </c:extLst>
              <c:f>'3. Trade in Goods'!$B$37:$C$37</c:f>
              <c:numCache>
                <c:formatCode>0.0</c:formatCode>
                <c:ptCount val="2"/>
                <c:pt idx="0">
                  <c:v>13.9</c:v>
                </c:pt>
                <c:pt idx="1">
                  <c:v>36.700000000000003</c:v>
                </c:pt>
              </c:numCache>
            </c:numRef>
          </c:val>
          <c:extLst>
            <c:ext xmlns:c16="http://schemas.microsoft.com/office/drawing/2014/chart" uri="{C3380CC4-5D6E-409C-BE32-E72D297353CC}">
              <c16:uniqueId val="{00000001-1469-4566-900A-1E589FFE5691}"/>
            </c:ext>
          </c:extLst>
        </c:ser>
        <c:dLbls>
          <c:showLegendKey val="0"/>
          <c:showVal val="0"/>
          <c:showCatName val="0"/>
          <c:showSerName val="0"/>
          <c:showPercent val="0"/>
          <c:showBubbleSize val="0"/>
        </c:dLbls>
        <c:gapWidth val="219"/>
        <c:overlap val="100"/>
        <c:axId val="696412112"/>
        <c:axId val="696412440"/>
      </c:barChart>
      <c:catAx>
        <c:axId val="69641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696412440"/>
        <c:crosses val="autoZero"/>
        <c:auto val="1"/>
        <c:lblAlgn val="ctr"/>
        <c:lblOffset val="100"/>
        <c:noMultiLvlLbl val="0"/>
      </c:catAx>
      <c:valAx>
        <c:axId val="696412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r>
                  <a:rPr lang="en-AU" sz="1050" b="1">
                    <a:solidFill>
                      <a:schemeClr val="tx1">
                        <a:lumMod val="85000"/>
                        <a:lumOff val="15000"/>
                      </a:schemeClr>
                    </a:solidFill>
                    <a:latin typeface="Calibri" panose="020F0502020204030204" pitchFamily="34" charset="0"/>
                    <a:cs typeface="Calibri" panose="020F0502020204030204" pitchFamily="34" charset="0"/>
                  </a:rPr>
                  <a:t>£</a:t>
                </a:r>
                <a:r>
                  <a:rPr lang="en-AU" sz="1050" b="1" baseline="0">
                    <a:solidFill>
                      <a:schemeClr val="tx1">
                        <a:lumMod val="85000"/>
                        <a:lumOff val="15000"/>
                      </a:schemeClr>
                    </a:solidFill>
                    <a:latin typeface="Calibri" panose="020F0502020204030204" pitchFamily="34" charset="0"/>
                    <a:cs typeface="Calibri" panose="020F0502020204030204" pitchFamily="34" charset="0"/>
                  </a:rPr>
                  <a:t> billion</a:t>
                </a:r>
                <a:endParaRPr lang="en-AU" sz="1050" b="1">
                  <a:solidFill>
                    <a:schemeClr val="tx1">
                      <a:lumMod val="85000"/>
                      <a:lumOff val="15000"/>
                    </a:schemeClr>
                  </a:solidFill>
                </a:endParaRPr>
              </a:p>
            </c:rich>
          </c:tx>
          <c:layout>
            <c:manualLayout>
              <c:xMode val="edge"/>
              <c:yMode val="edge"/>
              <c:x val="1.5991469872952181E-2"/>
              <c:y val="0.40897090988626422"/>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title>
        <c:numFmt formatCode="[$£-809]#,##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crossAx val="696412112"/>
        <c:crosses val="autoZero"/>
        <c:crossBetween val="between"/>
        <c:majorUnit val="1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a:t>UK Goods</a:t>
            </a:r>
            <a:r>
              <a:rPr lang="en-AU" b="1" baseline="0"/>
              <a:t> Exports (</a:t>
            </a:r>
            <a:r>
              <a:rPr lang="en-AU" b="1" baseline="0">
                <a:latin typeface="Calibri" panose="020F0502020204030204" pitchFamily="34" charset="0"/>
                <a:cs typeface="Calibri" panose="020F0502020204030204" pitchFamily="34" charset="0"/>
              </a:rPr>
              <a:t>£bn)</a:t>
            </a:r>
            <a:r>
              <a:rPr lang="en-AU" b="1"/>
              <a:t>:</a:t>
            </a:r>
            <a:r>
              <a:rPr lang="en-AU" b="1" baseline="0"/>
              <a:t> 2016</a:t>
            </a:r>
            <a:endParaRPr lang="en-AU" b="1"/>
          </a:p>
        </c:rich>
      </c:tx>
      <c:layout>
        <c:manualLayout>
          <c:xMode val="edge"/>
          <c:yMode val="edge"/>
          <c:x val="0.31701932552461232"/>
          <c:y val="5.452612366820196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40443036384538E-2"/>
          <c:y val="0.11879106328960058"/>
          <c:w val="0.85947964673707122"/>
          <c:h val="0.42409824155541392"/>
        </c:manualLayout>
      </c:layout>
      <c:barChart>
        <c:barDir val="bar"/>
        <c:grouping val="stacked"/>
        <c:varyColors val="0"/>
        <c:ser>
          <c:idx val="0"/>
          <c:order val="0"/>
          <c:tx>
            <c:strRef>
              <c:f>'3. Trade in Goods'!$A$11</c:f>
              <c:strCache>
                <c:ptCount val="1"/>
                <c:pt idx="0">
                  <c:v>Motor vehicles</c:v>
                </c:pt>
              </c:strCache>
            </c:strRef>
          </c:tx>
          <c:spPr>
            <a:solidFill>
              <a:schemeClr val="accent1">
                <a:lumMod val="50000"/>
              </a:schemeClr>
            </a:solidFill>
            <a:ln w="12700">
              <a:solidFill>
                <a:schemeClr val="tx1">
                  <a:lumMod val="95000"/>
                  <a:lumOff val="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Goods'!$B$11:$C$11</c:f>
              <c:numCache>
                <c:formatCode>_-[$£-809]* #,##0.0_-;\-[$£-809]* #,##0.0_-;_-[$£-809]* "-"??_-;_-@_-</c:formatCode>
                <c:ptCount val="2"/>
                <c:pt idx="0">
                  <c:v>19.600000000000001</c:v>
                </c:pt>
                <c:pt idx="1">
                  <c:v>25.27</c:v>
                </c:pt>
              </c:numCache>
            </c:numRef>
          </c:val>
          <c:extLst>
            <c:ext xmlns:c16="http://schemas.microsoft.com/office/drawing/2014/chart" uri="{C3380CC4-5D6E-409C-BE32-E72D297353CC}">
              <c16:uniqueId val="{00000000-1FD8-4999-A89A-EAB6674239AA}"/>
            </c:ext>
          </c:extLst>
        </c:ser>
        <c:ser>
          <c:idx val="1"/>
          <c:order val="1"/>
          <c:tx>
            <c:strRef>
              <c:f>'3. Trade in Goods'!$A$12</c:f>
              <c:strCache>
                <c:ptCount val="1"/>
                <c:pt idx="0">
                  <c:v>Transport equipmany (inc. aerospace)</c:v>
                </c:pt>
              </c:strCache>
            </c:strRef>
          </c:tx>
          <c:spPr>
            <a:solidFill>
              <a:srgbClr val="990000"/>
            </a:solidFill>
            <a:ln w="12700">
              <a:solidFill>
                <a:srgbClr val="45070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Goods'!$B$12:$C$12</c:f>
              <c:numCache>
                <c:formatCode>_-[$£-809]* #,##0.0_-;\-[$£-809]* #,##0.0_-;_-[$£-809]* "-"??_-;_-@_-</c:formatCode>
                <c:ptCount val="2"/>
                <c:pt idx="0">
                  <c:v>12.45</c:v>
                </c:pt>
                <c:pt idx="1">
                  <c:v>23.77</c:v>
                </c:pt>
              </c:numCache>
            </c:numRef>
          </c:val>
          <c:extLst>
            <c:ext xmlns:c16="http://schemas.microsoft.com/office/drawing/2014/chart" uri="{C3380CC4-5D6E-409C-BE32-E72D297353CC}">
              <c16:uniqueId val="{00000001-1FD8-4999-A89A-EAB6674239AA}"/>
            </c:ext>
          </c:extLst>
        </c:ser>
        <c:ser>
          <c:idx val="2"/>
          <c:order val="2"/>
          <c:tx>
            <c:strRef>
              <c:f>'3. Trade in Goods'!$A$13</c:f>
              <c:strCache>
                <c:ptCount val="1"/>
                <c:pt idx="0">
                  <c:v>Machinery</c:v>
                </c:pt>
              </c:strCache>
            </c:strRef>
          </c:tx>
          <c:spPr>
            <a:solidFill>
              <a:schemeClr val="accent1">
                <a:lumMod val="75000"/>
              </a:schemeClr>
            </a:solidFill>
            <a:ln w="12700">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Goods'!$B$13:$C$13</c:f>
              <c:numCache>
                <c:formatCode>_-[$£-809]* #,##0.0_-;\-[$£-809]* #,##0.0_-;_-[$£-809]* "-"??_-;_-@_-</c:formatCode>
                <c:ptCount val="2"/>
                <c:pt idx="0">
                  <c:v>12.82</c:v>
                </c:pt>
                <c:pt idx="1">
                  <c:v>17.89</c:v>
                </c:pt>
              </c:numCache>
            </c:numRef>
          </c:val>
          <c:extLst>
            <c:ext xmlns:c16="http://schemas.microsoft.com/office/drawing/2014/chart" uri="{C3380CC4-5D6E-409C-BE32-E72D297353CC}">
              <c16:uniqueId val="{00000002-1FD8-4999-A89A-EAB6674239AA}"/>
            </c:ext>
          </c:extLst>
        </c:ser>
        <c:ser>
          <c:idx val="3"/>
          <c:order val="3"/>
          <c:tx>
            <c:strRef>
              <c:f>'3. Trade in Goods'!$A$14</c:f>
              <c:strCache>
                <c:ptCount val="1"/>
                <c:pt idx="0">
                  <c:v>Chemicals</c:v>
                </c:pt>
              </c:strCache>
            </c:strRef>
          </c:tx>
          <c:spPr>
            <a:solidFill>
              <a:srgbClr val="F24848"/>
            </a:solidFill>
            <a:ln w="12700">
              <a:solidFill>
                <a:srgbClr val="C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Goods'!$B$14:$C$14</c:f>
              <c:numCache>
                <c:formatCode>_-[$£-809]* #,##0.0_-;\-[$£-809]* #,##0.0_-;_-[$£-809]* "-"??_-;_-@_-</c:formatCode>
                <c:ptCount val="2"/>
                <c:pt idx="0">
                  <c:v>17.5</c:v>
                </c:pt>
                <c:pt idx="1">
                  <c:v>10.95</c:v>
                </c:pt>
              </c:numCache>
            </c:numRef>
          </c:val>
          <c:extLst>
            <c:ext xmlns:c16="http://schemas.microsoft.com/office/drawing/2014/chart" uri="{C3380CC4-5D6E-409C-BE32-E72D297353CC}">
              <c16:uniqueId val="{00000003-1FD8-4999-A89A-EAB6674239AA}"/>
            </c:ext>
          </c:extLst>
        </c:ser>
        <c:ser>
          <c:idx val="4"/>
          <c:order val="4"/>
          <c:tx>
            <c:strRef>
              <c:f>'3. Trade in Goods'!$A$15</c:f>
              <c:strCache>
                <c:ptCount val="1"/>
                <c:pt idx="0">
                  <c:v>Pharmaceuticals</c:v>
                </c:pt>
              </c:strCache>
            </c:strRef>
          </c:tx>
          <c:spPr>
            <a:solidFill>
              <a:schemeClr val="accent1">
                <a:lumMod val="60000"/>
                <a:lumOff val="40000"/>
              </a:schemeClr>
            </a:solidFill>
            <a:ln w="12700">
              <a:solidFill>
                <a:schemeClr val="accent1">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Goods'!$B$15:$C$15</c:f>
              <c:numCache>
                <c:formatCode>_-[$£-809]* #,##0.0_-;\-[$£-809]* #,##0.0_-;_-[$£-809]* "-"??_-;_-@_-</c:formatCode>
                <c:ptCount val="2"/>
                <c:pt idx="0">
                  <c:v>13.26</c:v>
                </c:pt>
                <c:pt idx="1">
                  <c:v>14.77</c:v>
                </c:pt>
              </c:numCache>
            </c:numRef>
          </c:val>
          <c:extLst>
            <c:ext xmlns:c16="http://schemas.microsoft.com/office/drawing/2014/chart" uri="{C3380CC4-5D6E-409C-BE32-E72D297353CC}">
              <c16:uniqueId val="{00000004-1FD8-4999-A89A-EAB6674239AA}"/>
            </c:ext>
          </c:extLst>
        </c:ser>
        <c:ser>
          <c:idx val="5"/>
          <c:order val="5"/>
          <c:tx>
            <c:strRef>
              <c:f>'3. Trade in Goods'!$A$16</c:f>
              <c:strCache>
                <c:ptCount val="1"/>
                <c:pt idx="0">
                  <c:v>Computers, electronics, optical etc.</c:v>
                </c:pt>
              </c:strCache>
            </c:strRef>
          </c:tx>
          <c:spPr>
            <a:solidFill>
              <a:srgbClr val="C991C1"/>
            </a:solidFill>
            <a:ln w="12700">
              <a:solidFill>
                <a:srgbClr val="001C5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Goods'!$B$16:$C$16</c:f>
              <c:numCache>
                <c:formatCode>_-[$£-809]* #,##0.0_-;\-[$£-809]* #,##0.0_-;_-[$£-809]* "-"??_-;_-@_-</c:formatCode>
                <c:ptCount val="2"/>
                <c:pt idx="0">
                  <c:v>12.07</c:v>
                </c:pt>
                <c:pt idx="1">
                  <c:v>14.89</c:v>
                </c:pt>
              </c:numCache>
            </c:numRef>
          </c:val>
          <c:extLst>
            <c:ext xmlns:c16="http://schemas.microsoft.com/office/drawing/2014/chart" uri="{C3380CC4-5D6E-409C-BE32-E72D297353CC}">
              <c16:uniqueId val="{00000005-1FD8-4999-A89A-EAB6674239AA}"/>
            </c:ext>
          </c:extLst>
        </c:ser>
        <c:ser>
          <c:idx val="6"/>
          <c:order val="6"/>
          <c:tx>
            <c:strRef>
              <c:f>'3. Trade in Goods'!$A$17</c:f>
              <c:strCache>
                <c:ptCount val="1"/>
                <c:pt idx="0">
                  <c:v>Basic metals</c:v>
                </c:pt>
              </c:strCache>
            </c:strRef>
          </c:tx>
          <c:spPr>
            <a:solidFill>
              <a:srgbClr val="062B03"/>
            </a:solidFill>
            <a:ln w="12700">
              <a:solidFill>
                <a:sysClr val="windowText" lastClr="000000"/>
              </a:solidFill>
            </a:ln>
            <a:effectLst/>
          </c:spPr>
          <c:invertIfNegative val="0"/>
          <c:dLbls>
            <c:dLbl>
              <c:idx val="0"/>
              <c:layout>
                <c:manualLayout>
                  <c:x val="-6.9094686034136717E-17"/>
                  <c:y val="1.511335312349576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FD8-4999-A89A-EAB6674239AA}"/>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Goods'!$B$17:$C$17</c:f>
              <c:numCache>
                <c:formatCode>_-[$£-809]* #,##0.0_-;\-[$£-809]* #,##0.0_-;_-[$£-809]* "-"??_-;_-@_-</c:formatCode>
                <c:ptCount val="2"/>
                <c:pt idx="0">
                  <c:v>6.87</c:v>
                </c:pt>
                <c:pt idx="1">
                  <c:v>8.8699999999999992</c:v>
                </c:pt>
              </c:numCache>
            </c:numRef>
          </c:val>
          <c:extLst>
            <c:ext xmlns:c16="http://schemas.microsoft.com/office/drawing/2014/chart" uri="{C3380CC4-5D6E-409C-BE32-E72D297353CC}">
              <c16:uniqueId val="{00000006-1FD8-4999-A89A-EAB6674239AA}"/>
            </c:ext>
          </c:extLst>
        </c:ser>
        <c:ser>
          <c:idx val="7"/>
          <c:order val="7"/>
          <c:tx>
            <c:strRef>
              <c:f>'3. Trade in Goods'!$A$18</c:f>
              <c:strCache>
                <c:ptCount val="1"/>
                <c:pt idx="0">
                  <c:v>Food products</c:v>
                </c:pt>
              </c:strCache>
            </c:strRef>
          </c:tx>
          <c:spPr>
            <a:solidFill>
              <a:schemeClr val="accent6">
                <a:lumMod val="75000"/>
              </a:schemeClr>
            </a:solidFill>
            <a:ln w="12700">
              <a:solidFill>
                <a:schemeClr val="tx1">
                  <a:lumMod val="95000"/>
                  <a:lumOff val="5000"/>
                </a:schemeClr>
              </a:solidFill>
            </a:ln>
            <a:effectLst/>
          </c:spPr>
          <c:invertIfNegative val="0"/>
          <c:dLbls>
            <c:dLbl>
              <c:idx val="0"/>
              <c:layout>
                <c:manualLayout>
                  <c:x val="-6.9094686034136717E-17"/>
                  <c:y val="-2.64480704591662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FD8-4999-A89A-EAB6674239AA}"/>
                </c:ext>
              </c:extLst>
            </c:dLbl>
            <c:dLbl>
              <c:idx val="1"/>
              <c:delete val="1"/>
              <c:extLst>
                <c:ext xmlns:c15="http://schemas.microsoft.com/office/drawing/2012/chart" uri="{CE6537A1-D6FC-4f65-9D91-7224C49458BB}"/>
                <c:ext xmlns:c16="http://schemas.microsoft.com/office/drawing/2014/chart" uri="{C3380CC4-5D6E-409C-BE32-E72D297353CC}">
                  <c16:uniqueId val="{00000007-1FD8-4999-A89A-EAB6674239AA}"/>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Goods'!$B$18:$C$18</c:f>
              <c:numCache>
                <c:formatCode>_-[$£-809]* #,##0.0_-;\-[$£-809]* #,##0.0_-;_-[$£-809]* "-"??_-;_-@_-</c:formatCode>
                <c:ptCount val="2"/>
                <c:pt idx="0">
                  <c:v>9.11</c:v>
                </c:pt>
                <c:pt idx="1">
                  <c:v>3.93</c:v>
                </c:pt>
              </c:numCache>
            </c:numRef>
          </c:val>
          <c:extLst>
            <c:ext xmlns:c16="http://schemas.microsoft.com/office/drawing/2014/chart" uri="{C3380CC4-5D6E-409C-BE32-E72D297353CC}">
              <c16:uniqueId val="{00000008-1FD8-4999-A89A-EAB6674239AA}"/>
            </c:ext>
          </c:extLst>
        </c:ser>
        <c:ser>
          <c:idx val="8"/>
          <c:order val="8"/>
          <c:tx>
            <c:strRef>
              <c:f>'3. Trade in Goods'!$A$19</c:f>
              <c:strCache>
                <c:ptCount val="1"/>
                <c:pt idx="0">
                  <c:v>Electrical goods</c:v>
                </c:pt>
              </c:strCache>
            </c:strRef>
          </c:tx>
          <c:spPr>
            <a:solidFill>
              <a:schemeClr val="accent6">
                <a:lumMod val="60000"/>
                <a:lumOff val="40000"/>
              </a:schemeClr>
            </a:solidFill>
            <a:ln w="12700">
              <a:solidFill>
                <a:schemeClr val="accent6">
                  <a:lumMod val="50000"/>
                </a:schemeClr>
              </a:solidFill>
            </a:ln>
            <a:effectLst/>
          </c:spPr>
          <c:invertIfNegative val="0"/>
          <c:dLbls>
            <c:dLbl>
              <c:idx val="0"/>
              <c:layout>
                <c:manualLayout>
                  <c:x val="-1.4563468381619553E-3"/>
                  <c:y val="1.5113948137398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8-4999-A89A-EAB6674239AA}"/>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Goods'!$B$19:$C$19</c:f>
              <c:numCache>
                <c:formatCode>_-[$£-809]* #,##0.0_-;\-[$£-809]* #,##0.0_-;_-[$£-809]* "-"??_-;_-@_-</c:formatCode>
                <c:ptCount val="2"/>
                <c:pt idx="0">
                  <c:v>5.41</c:v>
                </c:pt>
                <c:pt idx="1">
                  <c:v>6.56</c:v>
                </c:pt>
              </c:numCache>
            </c:numRef>
          </c:val>
          <c:extLst>
            <c:ext xmlns:c16="http://schemas.microsoft.com/office/drawing/2014/chart" uri="{C3380CC4-5D6E-409C-BE32-E72D297353CC}">
              <c16:uniqueId val="{0000000A-1FD8-4999-A89A-EAB6674239AA}"/>
            </c:ext>
          </c:extLst>
        </c:ser>
        <c:ser>
          <c:idx val="9"/>
          <c:order val="9"/>
          <c:tx>
            <c:strRef>
              <c:f>'3. Trade in Goods'!$A$20</c:f>
              <c:strCache>
                <c:ptCount val="1"/>
                <c:pt idx="0">
                  <c:v>Beverages</c:v>
                </c:pt>
              </c:strCache>
            </c:strRef>
          </c:tx>
          <c:spPr>
            <a:solidFill>
              <a:schemeClr val="accent4">
                <a:lumMod val="60000"/>
                <a:lumOff val="40000"/>
              </a:schemeClr>
            </a:solidFill>
            <a:ln w="12700">
              <a:solidFill>
                <a:schemeClr val="accent4">
                  <a:lumMod val="50000"/>
                </a:schemeClr>
              </a:solidFill>
            </a:ln>
            <a:effectLst/>
          </c:spPr>
          <c:invertIfNegative val="0"/>
          <c:dLbls>
            <c:delete val="1"/>
          </c:dLbls>
          <c:cat>
            <c:strRef>
              <c:f>'3. Trade in Goods'!$B$10:$C$10</c:f>
              <c:strCache>
                <c:ptCount val="2"/>
                <c:pt idx="0">
                  <c:v>EU</c:v>
                </c:pt>
                <c:pt idx="1">
                  <c:v>non-EU</c:v>
                </c:pt>
              </c:strCache>
            </c:strRef>
          </c:cat>
          <c:val>
            <c:numRef>
              <c:f>'3. Trade in Goods'!$B$20:$C$20</c:f>
              <c:numCache>
                <c:formatCode>_-[$£-809]* #,##0.0_-;\-[$£-809]* #,##0.0_-;_-[$£-809]* "-"??_-;_-@_-</c:formatCode>
                <c:ptCount val="2"/>
                <c:pt idx="0">
                  <c:v>2.85</c:v>
                </c:pt>
                <c:pt idx="1">
                  <c:v>4.9400000000000004</c:v>
                </c:pt>
              </c:numCache>
            </c:numRef>
          </c:val>
          <c:extLst>
            <c:ext xmlns:c16="http://schemas.microsoft.com/office/drawing/2014/chart" uri="{C3380CC4-5D6E-409C-BE32-E72D297353CC}">
              <c16:uniqueId val="{0000000B-1FD8-4999-A89A-EAB6674239AA}"/>
            </c:ext>
          </c:extLst>
        </c:ser>
        <c:ser>
          <c:idx val="10"/>
          <c:order val="10"/>
          <c:tx>
            <c:strRef>
              <c:f>'3. Trade in Goods'!$A$21</c:f>
              <c:strCache>
                <c:ptCount val="1"/>
                <c:pt idx="0">
                  <c:v>Other manufactured products</c:v>
                </c:pt>
              </c:strCache>
            </c:strRef>
          </c:tx>
          <c:spPr>
            <a:solidFill>
              <a:schemeClr val="accent4">
                <a:lumMod val="75000"/>
              </a:schemeClr>
            </a:solidFill>
            <a:ln w="12700">
              <a:solidFill>
                <a:schemeClr val="accent4">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Goods'!$B$21:$C$21</c:f>
              <c:numCache>
                <c:formatCode>_-[$£-809]* #,##0.0_-;\-[$£-809]* #,##0.0_-;_-[$£-809]* "-"??_-;_-@_-</c:formatCode>
                <c:ptCount val="2"/>
                <c:pt idx="0">
                  <c:v>33.860000000000028</c:v>
                </c:pt>
                <c:pt idx="1">
                  <c:v>24.359999999999957</c:v>
                </c:pt>
              </c:numCache>
            </c:numRef>
          </c:val>
          <c:extLst>
            <c:ext xmlns:c16="http://schemas.microsoft.com/office/drawing/2014/chart" uri="{C3380CC4-5D6E-409C-BE32-E72D297353CC}">
              <c16:uniqueId val="{0000000C-1FD8-4999-A89A-EAB6674239AA}"/>
            </c:ext>
          </c:extLst>
        </c:ser>
        <c:ser>
          <c:idx val="11"/>
          <c:order val="11"/>
          <c:tx>
            <c:strRef>
              <c:f>'3. Trade in Goods'!$A$22</c:f>
              <c:strCache>
                <c:ptCount val="1"/>
                <c:pt idx="0">
                  <c:v>Products of agriculture, forestry &amp; fishing</c:v>
                </c:pt>
              </c:strCache>
            </c:strRef>
          </c:tx>
          <c:spPr>
            <a:solidFill>
              <a:schemeClr val="tx1"/>
            </a:solidFill>
            <a:ln w="12700">
              <a:solidFill>
                <a:schemeClr val="tx1">
                  <a:lumMod val="85000"/>
                  <a:lumOff val="15000"/>
                </a:schemeClr>
              </a:solidFill>
            </a:ln>
            <a:effectLst/>
          </c:spPr>
          <c:invertIfNegative val="0"/>
          <c:dLbls>
            <c:delete val="1"/>
          </c:dLbls>
          <c:cat>
            <c:strRef>
              <c:f>'3. Trade in Goods'!$B$10:$C$10</c:f>
              <c:strCache>
                <c:ptCount val="2"/>
                <c:pt idx="0">
                  <c:v>EU</c:v>
                </c:pt>
                <c:pt idx="1">
                  <c:v>non-EU</c:v>
                </c:pt>
              </c:strCache>
            </c:strRef>
          </c:cat>
          <c:val>
            <c:numRef>
              <c:f>'3. Trade in Goods'!$B$22:$C$22</c:f>
              <c:numCache>
                <c:formatCode>_-[$£-809]* #,##0.0_-;\-[$£-809]* #,##0.0_-;_-[$£-809]* "-"??_-;_-@_-</c:formatCode>
                <c:ptCount val="2"/>
                <c:pt idx="0">
                  <c:v>2.1989999999999998</c:v>
                </c:pt>
                <c:pt idx="1">
                  <c:v>0.90100000000000025</c:v>
                </c:pt>
              </c:numCache>
            </c:numRef>
          </c:val>
          <c:extLst>
            <c:ext xmlns:c16="http://schemas.microsoft.com/office/drawing/2014/chart" uri="{C3380CC4-5D6E-409C-BE32-E72D297353CC}">
              <c16:uniqueId val="{0000000D-1FD8-4999-A89A-EAB6674239AA}"/>
            </c:ext>
          </c:extLst>
        </c:ser>
        <c:ser>
          <c:idx val="12"/>
          <c:order val="12"/>
          <c:tx>
            <c:strRef>
              <c:f>'3. Trade in Goods'!$A$23</c:f>
              <c:strCache>
                <c:ptCount val="1"/>
                <c:pt idx="0">
                  <c:v>Mining &amp; quarrying (Inc. crude oil &amp; gas)</c:v>
                </c:pt>
              </c:strCache>
            </c:strRef>
          </c:tx>
          <c:spPr>
            <a:solidFill>
              <a:schemeClr val="tx1">
                <a:lumMod val="65000"/>
                <a:lumOff val="35000"/>
              </a:schemeClr>
            </a:solidFill>
            <a:ln w="12700">
              <a:solidFill>
                <a:schemeClr val="tx1">
                  <a:lumMod val="85000"/>
                  <a:lumOff val="1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Goods'!$B$23:$C$23</c:f>
              <c:numCache>
                <c:formatCode>_-[$£-809]* #,##0.0_-;\-[$£-809]* #,##0.0_-;_-[$£-809]* "-"??_-;_-@_-</c:formatCode>
                <c:ptCount val="2"/>
                <c:pt idx="0">
                  <c:v>12.52</c:v>
                </c:pt>
                <c:pt idx="1">
                  <c:v>6.18</c:v>
                </c:pt>
              </c:numCache>
            </c:numRef>
          </c:val>
          <c:extLst>
            <c:ext xmlns:c16="http://schemas.microsoft.com/office/drawing/2014/chart" uri="{C3380CC4-5D6E-409C-BE32-E72D297353CC}">
              <c16:uniqueId val="{0000000E-1FD8-4999-A89A-EAB6674239AA}"/>
            </c:ext>
          </c:extLst>
        </c:ser>
        <c:ser>
          <c:idx val="13"/>
          <c:order val="13"/>
          <c:tx>
            <c:strRef>
              <c:f>'3. Trade in Goods'!$A$24</c:f>
              <c:strCache>
                <c:ptCount val="1"/>
                <c:pt idx="0">
                  <c:v>Electricity, gas, steam &amp; air conditioning</c:v>
                </c:pt>
              </c:strCache>
            </c:strRef>
          </c:tx>
          <c:spPr>
            <a:solidFill>
              <a:schemeClr val="accent2">
                <a:lumMod val="80000"/>
                <a:lumOff val="20000"/>
              </a:schemeClr>
            </a:solidFill>
            <a:ln>
              <a:noFill/>
            </a:ln>
            <a:effectLst/>
          </c:spPr>
          <c:invertIfNegative val="0"/>
          <c:dLbls>
            <c:delete val="1"/>
          </c:dLbls>
          <c:cat>
            <c:strRef>
              <c:f>'3. Trade in Goods'!$B$10:$C$10</c:f>
              <c:strCache>
                <c:ptCount val="2"/>
                <c:pt idx="0">
                  <c:v>EU</c:v>
                </c:pt>
                <c:pt idx="1">
                  <c:v>non-EU</c:v>
                </c:pt>
              </c:strCache>
            </c:strRef>
          </c:cat>
          <c:val>
            <c:numRef>
              <c:f>'3. Trade in Goods'!$B$24:$C$24</c:f>
              <c:numCache>
                <c:formatCode>_-[$£-809]* #,##0.0_-;\-[$£-809]* #,##0.0_-;_-[$£-809]* "-"??_-;_-@_-</c:formatCode>
                <c:ptCount val="2"/>
                <c:pt idx="0">
                  <c:v>0.17499999999999999</c:v>
                </c:pt>
                <c:pt idx="1">
                  <c:v>2.5000000000000022E-2</c:v>
                </c:pt>
              </c:numCache>
            </c:numRef>
          </c:val>
          <c:extLst>
            <c:ext xmlns:c16="http://schemas.microsoft.com/office/drawing/2014/chart" uri="{C3380CC4-5D6E-409C-BE32-E72D297353CC}">
              <c16:uniqueId val="{0000000F-1FD8-4999-A89A-EAB6674239AA}"/>
            </c:ext>
          </c:extLst>
        </c:ser>
        <c:ser>
          <c:idx val="14"/>
          <c:order val="14"/>
          <c:tx>
            <c:strRef>
              <c:f>'3. Trade in Goods'!$A$25</c:f>
              <c:strCache>
                <c:ptCount val="1"/>
                <c:pt idx="0">
                  <c:v>Water supply, sewerage &amp; waste management</c:v>
                </c:pt>
              </c:strCache>
            </c:strRef>
          </c:tx>
          <c:spPr>
            <a:solidFill>
              <a:schemeClr val="bg1">
                <a:lumMod val="75000"/>
              </a:schemeClr>
            </a:solidFill>
            <a:ln w="12700">
              <a:solidFill>
                <a:schemeClr val="tx1">
                  <a:lumMod val="65000"/>
                  <a:lumOff val="35000"/>
                </a:schemeClr>
              </a:solidFill>
            </a:ln>
            <a:effectLst/>
          </c:spPr>
          <c:invertIfNegative val="0"/>
          <c:dLbls>
            <c:delete val="1"/>
          </c:dLbls>
          <c:cat>
            <c:strRef>
              <c:f>'3. Trade in Goods'!$B$10:$C$10</c:f>
              <c:strCache>
                <c:ptCount val="2"/>
                <c:pt idx="0">
                  <c:v>EU</c:v>
                </c:pt>
                <c:pt idx="1">
                  <c:v>non-EU</c:v>
                </c:pt>
              </c:strCache>
            </c:strRef>
          </c:cat>
          <c:val>
            <c:numRef>
              <c:f>'3. Trade in Goods'!$B$25:$C$25</c:f>
              <c:numCache>
                <c:formatCode>_-[$£-809]* #,##0.0_-;\-[$£-809]* #,##0.0_-;_-[$£-809]* "-"??_-;_-@_-</c:formatCode>
                <c:ptCount val="2"/>
                <c:pt idx="0">
                  <c:v>1.365</c:v>
                </c:pt>
                <c:pt idx="1">
                  <c:v>4.1349999999999998</c:v>
                </c:pt>
              </c:numCache>
            </c:numRef>
          </c:val>
          <c:extLst>
            <c:ext xmlns:c16="http://schemas.microsoft.com/office/drawing/2014/chart" uri="{C3380CC4-5D6E-409C-BE32-E72D297353CC}">
              <c16:uniqueId val="{00000010-1FD8-4999-A89A-EAB6674239AA}"/>
            </c:ext>
          </c:extLst>
        </c:ser>
        <c:ser>
          <c:idx val="15"/>
          <c:order val="15"/>
          <c:tx>
            <c:strRef>
              <c:f>'3. Trade in Goods'!$A$26</c:f>
              <c:strCache>
                <c:ptCount val="1"/>
                <c:pt idx="0">
                  <c:v>Information &amp; communication services</c:v>
                </c:pt>
              </c:strCache>
            </c:strRef>
          </c:tx>
          <c:spPr>
            <a:solidFill>
              <a:schemeClr val="accent4">
                <a:lumMod val="80000"/>
                <a:lumOff val="20000"/>
              </a:schemeClr>
            </a:solidFill>
            <a:ln w="12700">
              <a:solidFill>
                <a:srgbClr val="F1581B"/>
              </a:solidFill>
            </a:ln>
            <a:effectLst/>
          </c:spPr>
          <c:invertIfNegative val="0"/>
          <c:dLbls>
            <c:delete val="1"/>
          </c:dLbls>
          <c:cat>
            <c:strRef>
              <c:f>'3. Trade in Goods'!$B$10:$C$10</c:f>
              <c:strCache>
                <c:ptCount val="2"/>
                <c:pt idx="0">
                  <c:v>EU</c:v>
                </c:pt>
                <c:pt idx="1">
                  <c:v>non-EU</c:v>
                </c:pt>
              </c:strCache>
            </c:strRef>
          </c:cat>
          <c:val>
            <c:numRef>
              <c:f>'3. Trade in Goods'!$B$26:$C$26</c:f>
              <c:numCache>
                <c:formatCode>_-[$£-809]* #,##0.0_-;\-[$£-809]* #,##0.0_-;_-[$£-809]* "-"??_-;_-@_-</c:formatCode>
                <c:ptCount val="2"/>
                <c:pt idx="0">
                  <c:v>1.82</c:v>
                </c:pt>
                <c:pt idx="1">
                  <c:v>1.8800000000000001</c:v>
                </c:pt>
              </c:numCache>
            </c:numRef>
          </c:val>
          <c:extLst>
            <c:ext xmlns:c16="http://schemas.microsoft.com/office/drawing/2014/chart" uri="{C3380CC4-5D6E-409C-BE32-E72D297353CC}">
              <c16:uniqueId val="{00000011-1FD8-4999-A89A-EAB6674239AA}"/>
            </c:ext>
          </c:extLst>
        </c:ser>
        <c:ser>
          <c:idx val="16"/>
          <c:order val="16"/>
          <c:tx>
            <c:strRef>
              <c:f>'3. Trade in Goods'!$A$27</c:f>
              <c:strCache>
                <c:ptCount val="1"/>
                <c:pt idx="0">
                  <c:v>Arts, entertainment &amp; recreation</c:v>
                </c:pt>
              </c:strCache>
            </c:strRef>
          </c:tx>
          <c:spPr>
            <a:solidFill>
              <a:srgbClr val="663300"/>
            </a:solidFill>
            <a:ln w="12700">
              <a:solidFill>
                <a:srgbClr val="450701"/>
              </a:solidFill>
            </a:ln>
            <a:effectLst/>
          </c:spPr>
          <c:invertIfNegative val="0"/>
          <c:dLbls>
            <c:delete val="1"/>
          </c:dLbls>
          <c:cat>
            <c:strRef>
              <c:f>'3. Trade in Goods'!$B$10:$C$10</c:f>
              <c:strCache>
                <c:ptCount val="2"/>
                <c:pt idx="0">
                  <c:v>EU</c:v>
                </c:pt>
                <c:pt idx="1">
                  <c:v>non-EU</c:v>
                </c:pt>
              </c:strCache>
            </c:strRef>
          </c:cat>
          <c:val>
            <c:numRef>
              <c:f>'3. Trade in Goods'!$B$27:$C$27</c:f>
              <c:numCache>
                <c:formatCode>_-[$£-809]* #,##0.0_-;\-[$£-809]* #,##0.0_-;_-[$£-809]* "-"??_-;_-@_-</c:formatCode>
                <c:ptCount val="2"/>
                <c:pt idx="0">
                  <c:v>0.14099999999999999</c:v>
                </c:pt>
                <c:pt idx="1">
                  <c:v>5.359</c:v>
                </c:pt>
              </c:numCache>
            </c:numRef>
          </c:val>
          <c:extLst>
            <c:ext xmlns:c16="http://schemas.microsoft.com/office/drawing/2014/chart" uri="{C3380CC4-5D6E-409C-BE32-E72D297353CC}">
              <c16:uniqueId val="{00000012-1FD8-4999-A89A-EAB6674239AA}"/>
            </c:ext>
          </c:extLst>
        </c:ser>
        <c:dLbls>
          <c:dLblPos val="ctr"/>
          <c:showLegendKey val="0"/>
          <c:showVal val="1"/>
          <c:showCatName val="0"/>
          <c:showSerName val="0"/>
          <c:showPercent val="0"/>
          <c:showBubbleSize val="0"/>
        </c:dLbls>
        <c:gapWidth val="85"/>
        <c:overlap val="100"/>
        <c:axId val="592131296"/>
        <c:axId val="592132608"/>
      </c:barChart>
      <c:catAx>
        <c:axId val="592131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592132608"/>
        <c:crosses val="autoZero"/>
        <c:auto val="1"/>
        <c:lblAlgn val="ctr"/>
        <c:lblOffset val="100"/>
        <c:noMultiLvlLbl val="0"/>
      </c:catAx>
      <c:valAx>
        <c:axId val="592132608"/>
        <c:scaling>
          <c:orientation val="minMax"/>
          <c:max val="160"/>
        </c:scaling>
        <c:delete val="0"/>
        <c:axPos val="t"/>
        <c:majorGridlines>
          <c:spPr>
            <a:ln w="9525" cap="flat" cmpd="sng" algn="ctr">
              <a:solidFill>
                <a:schemeClr val="tx1">
                  <a:lumMod val="15000"/>
                  <a:lumOff val="85000"/>
                </a:schemeClr>
              </a:solidFill>
              <a:round/>
            </a:ln>
            <a:effectLst/>
          </c:spPr>
        </c:majorGridlines>
        <c:numFmt formatCode="_-[$£-809]* #,##0_-;\-[$£-809]* #,##0_-;_-[$£-809]* &quot;-&quot;_-;_-@_-" sourceLinked="0"/>
        <c:majorTickMark val="none"/>
        <c:minorTickMark val="none"/>
        <c:tickLblPos val="high"/>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92131296"/>
        <c:crosses val="autoZero"/>
        <c:crossBetween val="between"/>
      </c:valAx>
      <c:spPr>
        <a:noFill/>
        <a:ln>
          <a:noFill/>
        </a:ln>
        <a:effectLst/>
      </c:spPr>
    </c:plotArea>
    <c:legend>
      <c:legendPos val="b"/>
      <c:layout>
        <c:manualLayout>
          <c:xMode val="edge"/>
          <c:yMode val="edge"/>
          <c:x val="1.3799404770231999E-3"/>
          <c:y val="0.64477699771455155"/>
          <c:w val="0.98970605830621383"/>
          <c:h val="0.3552230022854484"/>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tx1">
                    <a:lumMod val="75000"/>
                    <a:lumOff val="25000"/>
                  </a:schemeClr>
                </a:solidFill>
                <a:latin typeface="+mn-lt"/>
                <a:ea typeface="+mn-ea"/>
                <a:cs typeface="+mn-cs"/>
              </a:defRPr>
            </a:pPr>
            <a:r>
              <a:rPr lang="en-US" sz="1400" b="1" i="0" u="none" strike="noStrike" kern="1200" spc="0" baseline="0">
                <a:solidFill>
                  <a:schemeClr val="tx1">
                    <a:lumMod val="75000"/>
                    <a:lumOff val="25000"/>
                  </a:schemeClr>
                </a:solidFill>
                <a:latin typeface="+mn-lt"/>
                <a:ea typeface="+mn-ea"/>
                <a:cs typeface="+mn-cs"/>
              </a:rPr>
              <a:t>UK-EU and US-China 2017 </a:t>
            </a:r>
            <a:br>
              <a:rPr lang="en-US" sz="1400" b="1" i="0" u="none" strike="noStrike" kern="1200" spc="0" baseline="0">
                <a:solidFill>
                  <a:schemeClr val="tx1">
                    <a:lumMod val="75000"/>
                    <a:lumOff val="25000"/>
                  </a:schemeClr>
                </a:solidFill>
                <a:latin typeface="+mn-lt"/>
                <a:ea typeface="+mn-ea"/>
                <a:cs typeface="+mn-cs"/>
              </a:rPr>
            </a:br>
            <a:r>
              <a:rPr lang="en-US" sz="1400" b="1" i="0" u="none" strike="noStrike" kern="1200" spc="0" baseline="0">
                <a:solidFill>
                  <a:schemeClr val="tx1">
                    <a:lumMod val="75000"/>
                    <a:lumOff val="25000"/>
                  </a:schemeClr>
                </a:solidFill>
                <a:latin typeface="+mn-lt"/>
                <a:ea typeface="+mn-ea"/>
                <a:cs typeface="+mn-cs"/>
              </a:rPr>
              <a:t>Deficits compared: US$ bn</a:t>
            </a:r>
          </a:p>
        </c:rich>
      </c:tx>
      <c:layout>
        <c:manualLayout>
          <c:xMode val="edge"/>
          <c:yMode val="edge"/>
          <c:x val="0.29475737590122114"/>
          <c:y val="4.5553137555615561E-2"/>
        </c:manualLayout>
      </c:layout>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'3. Trade in Goods'!$B$236</c:f>
              <c:strCache>
                <c:ptCount val="1"/>
                <c:pt idx="0">
                  <c:v>US$ bn</c:v>
                </c:pt>
              </c:strCache>
            </c:strRef>
          </c:tx>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5-208D-4EA2-9312-B87F9B5F2374}"/>
              </c:ext>
            </c:extLst>
          </c:dPt>
          <c:dPt>
            <c:idx val="1"/>
            <c:invertIfNegative val="0"/>
            <c:bubble3D val="0"/>
            <c:spPr>
              <a:solidFill>
                <a:srgbClr val="C00000"/>
              </a:solidFill>
              <a:ln>
                <a:noFill/>
              </a:ln>
              <a:effectLst/>
            </c:spPr>
            <c:extLst>
              <c:ext xmlns:c16="http://schemas.microsoft.com/office/drawing/2014/chart" uri="{C3380CC4-5D6E-409C-BE32-E72D297353CC}">
                <c16:uniqueId val="{0000000A-208D-4EA2-9312-B87F9B5F2374}"/>
              </c:ext>
            </c:extLst>
          </c:dPt>
          <c:cat>
            <c:strRef>
              <c:f>'3. Trade in Goods'!$A$237:$A$238</c:f>
              <c:strCache>
                <c:ptCount val="2"/>
                <c:pt idx="0">
                  <c:v>US‒China </c:v>
                </c:pt>
                <c:pt idx="1">
                  <c:v>UK‒EU</c:v>
                </c:pt>
              </c:strCache>
            </c:strRef>
          </c:cat>
          <c:val>
            <c:numRef>
              <c:f>'3. Trade in Goods'!$B$237:$B$238</c:f>
              <c:numCache>
                <c:formatCode>_-"$"* #,##0.0_-;\-"$"* #,##0.0_-;_-"$"* "-"??_-;_-@_-</c:formatCode>
                <c:ptCount val="2"/>
                <c:pt idx="0">
                  <c:v>337.8</c:v>
                </c:pt>
                <c:pt idx="1">
                  <c:v>78.69</c:v>
                </c:pt>
              </c:numCache>
            </c:numRef>
          </c:val>
          <c:extLst>
            <c:ext xmlns:c16="http://schemas.microsoft.com/office/drawing/2014/chart" uri="{C3380CC4-5D6E-409C-BE32-E72D297353CC}">
              <c16:uniqueId val="{00000000-B24A-4E8F-9462-8126BA783061}"/>
            </c:ext>
          </c:extLst>
        </c:ser>
        <c:dLbls>
          <c:showLegendKey val="0"/>
          <c:showVal val="0"/>
          <c:showCatName val="0"/>
          <c:showSerName val="0"/>
          <c:showPercent val="0"/>
          <c:showBubbleSize val="0"/>
        </c:dLbls>
        <c:gapWidth val="87"/>
        <c:axId val="625382200"/>
        <c:axId val="625377280"/>
      </c:barChart>
      <c:catAx>
        <c:axId val="6253822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crossAx val="625377280"/>
        <c:crosses val="autoZero"/>
        <c:auto val="1"/>
        <c:lblAlgn val="ctr"/>
        <c:lblOffset val="100"/>
        <c:noMultiLvlLbl val="0"/>
      </c:catAx>
      <c:valAx>
        <c:axId val="625377280"/>
        <c:scaling>
          <c:orientation val="minMax"/>
          <c:max val="350"/>
          <c:min val="0"/>
        </c:scaling>
        <c:delete val="0"/>
        <c:axPos val="b"/>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625382200"/>
        <c:crosses val="autoZero"/>
        <c:crossBetween val="between"/>
        <c:majorUnit val="50"/>
        <c:minorUnit val="1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US" b="1"/>
              <a:t>Deficit in goods and services per person: 2017</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barChart>
        <c:barDir val="col"/>
        <c:grouping val="clustered"/>
        <c:varyColors val="0"/>
        <c:ser>
          <c:idx val="0"/>
          <c:order val="0"/>
          <c:tx>
            <c:strRef>
              <c:f>'3. Trade in Goods'!$B$244</c:f>
              <c:strCache>
                <c:ptCount val="1"/>
                <c:pt idx="0">
                  <c:v>US$ </c:v>
                </c:pt>
              </c:strCache>
            </c:strRef>
          </c:tx>
          <c:spPr>
            <a:solidFill>
              <a:schemeClr val="accent1"/>
            </a:solidFill>
            <a:ln>
              <a:noFill/>
            </a:ln>
            <a:effectLst/>
          </c:spPr>
          <c:invertIfNegative val="0"/>
          <c:dPt>
            <c:idx val="0"/>
            <c:invertIfNegative val="0"/>
            <c:bubble3D val="0"/>
            <c:spPr>
              <a:solidFill>
                <a:srgbClr val="C00000"/>
              </a:solidFill>
              <a:ln>
                <a:solidFill>
                  <a:srgbClr val="990000"/>
                </a:solidFill>
              </a:ln>
              <a:effectLst/>
            </c:spPr>
            <c:extLst>
              <c:ext xmlns:c16="http://schemas.microsoft.com/office/drawing/2014/chart" uri="{C3380CC4-5D6E-409C-BE32-E72D297353CC}">
                <c16:uniqueId val="{00000004-3A42-468F-8401-38CD2D7BC60B}"/>
              </c:ext>
            </c:extLst>
          </c:dPt>
          <c:dPt>
            <c:idx val="1"/>
            <c:invertIfNegative val="0"/>
            <c:bubble3D val="0"/>
            <c:spPr>
              <a:solidFill>
                <a:srgbClr val="002060"/>
              </a:solidFill>
              <a:ln>
                <a:noFill/>
              </a:ln>
              <a:effectLst/>
            </c:spPr>
            <c:extLst>
              <c:ext xmlns:c16="http://schemas.microsoft.com/office/drawing/2014/chart" uri="{C3380CC4-5D6E-409C-BE32-E72D297353CC}">
                <c16:uniqueId val="{00000013-3A42-468F-8401-38CD2D7BC60B}"/>
              </c:ext>
            </c:extLst>
          </c:dPt>
          <c:dLbls>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Goods'!$A$245:$A$246</c:f>
              <c:strCache>
                <c:ptCount val="2"/>
                <c:pt idx="0">
                  <c:v>US deficit with China </c:v>
                </c:pt>
                <c:pt idx="1">
                  <c:v>UK deficit with EU</c:v>
                </c:pt>
              </c:strCache>
            </c:strRef>
          </c:cat>
          <c:val>
            <c:numRef>
              <c:f>'3. Trade in Goods'!$B$245:$B$246</c:f>
              <c:numCache>
                <c:formatCode>_-[$$-409]* #,##0_ ;_-[$$-409]* \-#,##0\ ;_-[$$-409]* "-"??_ ;_-@_ </c:formatCode>
                <c:ptCount val="2"/>
                <c:pt idx="0">
                  <c:v>1049.7203231821006</c:v>
                </c:pt>
                <c:pt idx="1">
                  <c:v>1216.2287480680061</c:v>
                </c:pt>
              </c:numCache>
            </c:numRef>
          </c:val>
          <c:extLst>
            <c:ext xmlns:c16="http://schemas.microsoft.com/office/drawing/2014/chart" uri="{C3380CC4-5D6E-409C-BE32-E72D297353CC}">
              <c16:uniqueId val="{00000000-3A42-468F-8401-38CD2D7BC60B}"/>
            </c:ext>
          </c:extLst>
        </c:ser>
        <c:dLbls>
          <c:showLegendKey val="0"/>
          <c:showVal val="0"/>
          <c:showCatName val="0"/>
          <c:showSerName val="0"/>
          <c:showPercent val="0"/>
          <c:showBubbleSize val="0"/>
        </c:dLbls>
        <c:gapWidth val="219"/>
        <c:overlap val="-27"/>
        <c:axId val="429755488"/>
        <c:axId val="429755816"/>
      </c:barChart>
      <c:catAx>
        <c:axId val="429755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endParaRPr lang="en-US"/>
          </a:p>
        </c:txPr>
        <c:crossAx val="429755816"/>
        <c:crosses val="autoZero"/>
        <c:auto val="1"/>
        <c:lblAlgn val="ctr"/>
        <c:lblOffset val="100"/>
        <c:noMultiLvlLbl val="0"/>
      </c:catAx>
      <c:valAx>
        <c:axId val="429755816"/>
        <c:scaling>
          <c:orientation val="minMax"/>
          <c:max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r>
                  <a:rPr lang="en-US" sz="1100" b="1"/>
                  <a:t>Deficit per peron</a:t>
                </a:r>
              </a:p>
            </c:rich>
          </c:tx>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crossAx val="429755488"/>
        <c:crosses val="autoZero"/>
        <c:crossBetween val="between"/>
        <c:majorUnit val="50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a:t>UK Goods</a:t>
            </a:r>
            <a:r>
              <a:rPr lang="en-AU" b="1" baseline="0"/>
              <a:t> Exports (</a:t>
            </a:r>
            <a:r>
              <a:rPr lang="en-AU" b="1" baseline="0">
                <a:latin typeface="Calibri" panose="020F0502020204030204" pitchFamily="34" charset="0"/>
                <a:cs typeface="Calibri" panose="020F0502020204030204" pitchFamily="34" charset="0"/>
              </a:rPr>
              <a:t>£bn)</a:t>
            </a:r>
            <a:r>
              <a:rPr lang="en-AU" b="1"/>
              <a:t>:</a:t>
            </a:r>
            <a:r>
              <a:rPr lang="en-AU" b="1" baseline="0"/>
              <a:t> 2017</a:t>
            </a:r>
            <a:endParaRPr lang="en-AU" b="1"/>
          </a:p>
        </c:rich>
      </c:tx>
      <c:layout>
        <c:manualLayout>
          <c:xMode val="edge"/>
          <c:yMode val="edge"/>
          <c:x val="0.31701932552461232"/>
          <c:y val="5.452612366820196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40443036384538E-2"/>
          <c:y val="0.11879106328960058"/>
          <c:w val="0.85947964673707122"/>
          <c:h val="0.47321666505495447"/>
        </c:manualLayout>
      </c:layout>
      <c:barChart>
        <c:barDir val="bar"/>
        <c:grouping val="stacked"/>
        <c:varyColors val="0"/>
        <c:ser>
          <c:idx val="0"/>
          <c:order val="0"/>
          <c:tx>
            <c:strRef>
              <c:f>'3. Trade in Goods'!$A$11</c:f>
              <c:strCache>
                <c:ptCount val="1"/>
                <c:pt idx="0">
                  <c:v>Motor vehicles</c:v>
                </c:pt>
              </c:strCache>
            </c:strRef>
          </c:tx>
          <c:spPr>
            <a:solidFill>
              <a:schemeClr val="accent1">
                <a:lumMod val="50000"/>
              </a:schemeClr>
            </a:solidFill>
            <a:ln w="12700">
              <a:solidFill>
                <a:schemeClr val="tx1">
                  <a:lumMod val="95000"/>
                  <a:lumOff val="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Goods'!$B$11:$C$11</c:f>
              <c:numCache>
                <c:formatCode>_-[$£-809]* #,##0.0_-;\-[$£-809]* #,##0.0_-;_-[$£-809]* "-"??_-;_-@_-</c:formatCode>
                <c:ptCount val="2"/>
                <c:pt idx="0">
                  <c:v>19.600000000000001</c:v>
                </c:pt>
                <c:pt idx="1">
                  <c:v>25.27</c:v>
                </c:pt>
              </c:numCache>
            </c:numRef>
          </c:val>
          <c:extLst>
            <c:ext xmlns:c16="http://schemas.microsoft.com/office/drawing/2014/chart" uri="{C3380CC4-5D6E-409C-BE32-E72D297353CC}">
              <c16:uniqueId val="{00000000-D595-40A0-891F-18D7C2D02DA7}"/>
            </c:ext>
          </c:extLst>
        </c:ser>
        <c:ser>
          <c:idx val="1"/>
          <c:order val="1"/>
          <c:tx>
            <c:strRef>
              <c:f>'3. Trade in Goods'!$A$12</c:f>
              <c:strCache>
                <c:ptCount val="1"/>
                <c:pt idx="0">
                  <c:v>Transport equipmany (inc. aerospace)</c:v>
                </c:pt>
              </c:strCache>
            </c:strRef>
          </c:tx>
          <c:spPr>
            <a:solidFill>
              <a:srgbClr val="990000"/>
            </a:solidFill>
            <a:ln w="12700">
              <a:solidFill>
                <a:srgbClr val="45070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Goods'!$B$12:$C$12</c:f>
              <c:numCache>
                <c:formatCode>_-[$£-809]* #,##0.0_-;\-[$£-809]* #,##0.0_-;_-[$£-809]* "-"??_-;_-@_-</c:formatCode>
                <c:ptCount val="2"/>
                <c:pt idx="0">
                  <c:v>12.45</c:v>
                </c:pt>
                <c:pt idx="1">
                  <c:v>23.77</c:v>
                </c:pt>
              </c:numCache>
            </c:numRef>
          </c:val>
          <c:extLst>
            <c:ext xmlns:c16="http://schemas.microsoft.com/office/drawing/2014/chart" uri="{C3380CC4-5D6E-409C-BE32-E72D297353CC}">
              <c16:uniqueId val="{00000001-D595-40A0-891F-18D7C2D02DA7}"/>
            </c:ext>
          </c:extLst>
        </c:ser>
        <c:ser>
          <c:idx val="2"/>
          <c:order val="2"/>
          <c:tx>
            <c:strRef>
              <c:f>'3. Trade in Goods'!$A$13</c:f>
              <c:strCache>
                <c:ptCount val="1"/>
                <c:pt idx="0">
                  <c:v>Machinery</c:v>
                </c:pt>
              </c:strCache>
            </c:strRef>
          </c:tx>
          <c:spPr>
            <a:solidFill>
              <a:schemeClr val="bg1">
                <a:lumMod val="65000"/>
              </a:schemeClr>
            </a:solidFill>
            <a:ln w="12700">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Goods'!$B$13:$C$13</c:f>
              <c:numCache>
                <c:formatCode>_-[$£-809]* #,##0.0_-;\-[$£-809]* #,##0.0_-;_-[$£-809]* "-"??_-;_-@_-</c:formatCode>
                <c:ptCount val="2"/>
                <c:pt idx="0">
                  <c:v>12.82</c:v>
                </c:pt>
                <c:pt idx="1">
                  <c:v>17.89</c:v>
                </c:pt>
              </c:numCache>
            </c:numRef>
          </c:val>
          <c:extLst>
            <c:ext xmlns:c16="http://schemas.microsoft.com/office/drawing/2014/chart" uri="{C3380CC4-5D6E-409C-BE32-E72D297353CC}">
              <c16:uniqueId val="{00000002-D595-40A0-891F-18D7C2D02DA7}"/>
            </c:ext>
          </c:extLst>
        </c:ser>
        <c:ser>
          <c:idx val="3"/>
          <c:order val="3"/>
          <c:tx>
            <c:strRef>
              <c:f>'3. Trade in Goods'!$A$14</c:f>
              <c:strCache>
                <c:ptCount val="1"/>
                <c:pt idx="0">
                  <c:v>Chemicals</c:v>
                </c:pt>
              </c:strCache>
            </c:strRef>
          </c:tx>
          <c:spPr>
            <a:solidFill>
              <a:schemeClr val="accent5">
                <a:lumMod val="75000"/>
              </a:schemeClr>
            </a:solidFill>
            <a:ln w="12700">
              <a:solidFill>
                <a:schemeClr val="bg2">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Goods'!$B$14:$C$14</c:f>
              <c:numCache>
                <c:formatCode>_-[$£-809]* #,##0.0_-;\-[$£-809]* #,##0.0_-;_-[$£-809]* "-"??_-;_-@_-</c:formatCode>
                <c:ptCount val="2"/>
                <c:pt idx="0">
                  <c:v>17.5</c:v>
                </c:pt>
                <c:pt idx="1">
                  <c:v>10.95</c:v>
                </c:pt>
              </c:numCache>
            </c:numRef>
          </c:val>
          <c:extLst>
            <c:ext xmlns:c16="http://schemas.microsoft.com/office/drawing/2014/chart" uri="{C3380CC4-5D6E-409C-BE32-E72D297353CC}">
              <c16:uniqueId val="{00000004-D595-40A0-891F-18D7C2D02DA7}"/>
            </c:ext>
          </c:extLst>
        </c:ser>
        <c:ser>
          <c:idx val="4"/>
          <c:order val="4"/>
          <c:tx>
            <c:strRef>
              <c:f>'3. Trade in Goods'!$A$15</c:f>
              <c:strCache>
                <c:ptCount val="1"/>
                <c:pt idx="0">
                  <c:v>Pharmaceuticals</c:v>
                </c:pt>
              </c:strCache>
            </c:strRef>
          </c:tx>
          <c:spPr>
            <a:solidFill>
              <a:srgbClr val="FD6B6B"/>
            </a:solidFill>
            <a:ln w="12700">
              <a:solidFill>
                <a:srgbClr val="C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Goods'!$B$15:$C$15</c:f>
              <c:numCache>
                <c:formatCode>_-[$£-809]* #,##0.0_-;\-[$£-809]* #,##0.0_-;_-[$£-809]* "-"??_-;_-@_-</c:formatCode>
                <c:ptCount val="2"/>
                <c:pt idx="0">
                  <c:v>13.26</c:v>
                </c:pt>
                <c:pt idx="1">
                  <c:v>14.77</c:v>
                </c:pt>
              </c:numCache>
            </c:numRef>
          </c:val>
          <c:extLst>
            <c:ext xmlns:c16="http://schemas.microsoft.com/office/drawing/2014/chart" uri="{C3380CC4-5D6E-409C-BE32-E72D297353CC}">
              <c16:uniqueId val="{00000007-D595-40A0-891F-18D7C2D02DA7}"/>
            </c:ext>
          </c:extLst>
        </c:ser>
        <c:ser>
          <c:idx val="5"/>
          <c:order val="5"/>
          <c:tx>
            <c:strRef>
              <c:f>'3. Trade in Goods'!$A$16</c:f>
              <c:strCache>
                <c:ptCount val="1"/>
                <c:pt idx="0">
                  <c:v>Computers, electronics, optical etc.</c:v>
                </c:pt>
              </c:strCache>
            </c:strRef>
          </c:tx>
          <c:spPr>
            <a:solidFill>
              <a:srgbClr val="062B03"/>
            </a:solidFill>
            <a:ln w="12700">
              <a:solidFill>
                <a:srgbClr val="001C5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Goods'!$B$16:$C$16</c:f>
              <c:numCache>
                <c:formatCode>_-[$£-809]* #,##0.0_-;\-[$£-809]* #,##0.0_-;_-[$£-809]* "-"??_-;_-@_-</c:formatCode>
                <c:ptCount val="2"/>
                <c:pt idx="0">
                  <c:v>12.07</c:v>
                </c:pt>
                <c:pt idx="1">
                  <c:v>14.89</c:v>
                </c:pt>
              </c:numCache>
            </c:numRef>
          </c:val>
          <c:extLst>
            <c:ext xmlns:c16="http://schemas.microsoft.com/office/drawing/2014/chart" uri="{C3380CC4-5D6E-409C-BE32-E72D297353CC}">
              <c16:uniqueId val="{00000009-D595-40A0-891F-18D7C2D02DA7}"/>
            </c:ext>
          </c:extLst>
        </c:ser>
        <c:ser>
          <c:idx val="6"/>
          <c:order val="6"/>
          <c:tx>
            <c:strRef>
              <c:f>'3. Trade in Goods'!$A$17</c:f>
              <c:strCache>
                <c:ptCount val="1"/>
                <c:pt idx="0">
                  <c:v>Basic metals</c:v>
                </c:pt>
              </c:strCache>
            </c:strRef>
          </c:tx>
          <c:spPr>
            <a:solidFill>
              <a:schemeClr val="tx1">
                <a:lumMod val="75000"/>
                <a:lumOff val="25000"/>
              </a:schemeClr>
            </a:solidFill>
            <a:ln w="12700">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Goods'!$B$17:$C$17</c:f>
              <c:numCache>
                <c:formatCode>_-[$£-809]* #,##0.0_-;\-[$£-809]* #,##0.0_-;_-[$£-809]* "-"??_-;_-@_-</c:formatCode>
                <c:ptCount val="2"/>
                <c:pt idx="0">
                  <c:v>6.87</c:v>
                </c:pt>
                <c:pt idx="1">
                  <c:v>8.8699999999999992</c:v>
                </c:pt>
              </c:numCache>
            </c:numRef>
          </c:val>
          <c:extLst>
            <c:ext xmlns:c16="http://schemas.microsoft.com/office/drawing/2014/chart" uri="{C3380CC4-5D6E-409C-BE32-E72D297353CC}">
              <c16:uniqueId val="{0000000B-D595-40A0-891F-18D7C2D02DA7}"/>
            </c:ext>
          </c:extLst>
        </c:ser>
        <c:ser>
          <c:idx val="7"/>
          <c:order val="7"/>
          <c:tx>
            <c:strRef>
              <c:f>'3. Trade in Goods'!$A$18</c:f>
              <c:strCache>
                <c:ptCount val="1"/>
                <c:pt idx="0">
                  <c:v>Food products</c:v>
                </c:pt>
              </c:strCache>
            </c:strRef>
          </c:tx>
          <c:spPr>
            <a:solidFill>
              <a:schemeClr val="accent6">
                <a:lumMod val="75000"/>
              </a:schemeClr>
            </a:solidFill>
            <a:ln w="12700">
              <a:solidFill>
                <a:schemeClr val="tx1">
                  <a:lumMod val="95000"/>
                  <a:lumOff val="5000"/>
                </a:schemeClr>
              </a:solid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1E-D595-40A0-891F-18D7C2D02DA7}"/>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Goods'!$B$18:$C$18</c:f>
              <c:numCache>
                <c:formatCode>_-[$£-809]* #,##0.0_-;\-[$£-809]* #,##0.0_-;_-[$£-809]* "-"??_-;_-@_-</c:formatCode>
                <c:ptCount val="2"/>
                <c:pt idx="0">
                  <c:v>9.11</c:v>
                </c:pt>
                <c:pt idx="1">
                  <c:v>3.93</c:v>
                </c:pt>
              </c:numCache>
            </c:numRef>
          </c:val>
          <c:extLst>
            <c:ext xmlns:c16="http://schemas.microsoft.com/office/drawing/2014/chart" uri="{C3380CC4-5D6E-409C-BE32-E72D297353CC}">
              <c16:uniqueId val="{00000011-D595-40A0-891F-18D7C2D02DA7}"/>
            </c:ext>
          </c:extLst>
        </c:ser>
        <c:ser>
          <c:idx val="8"/>
          <c:order val="8"/>
          <c:tx>
            <c:strRef>
              <c:f>'3. Trade in Goods'!$A$19</c:f>
              <c:strCache>
                <c:ptCount val="1"/>
                <c:pt idx="0">
                  <c:v>Electrical goods</c:v>
                </c:pt>
              </c:strCache>
            </c:strRef>
          </c:tx>
          <c:spPr>
            <a:solidFill>
              <a:schemeClr val="accent6">
                <a:lumMod val="60000"/>
                <a:lumOff val="40000"/>
              </a:schemeClr>
            </a:solidFill>
            <a:ln w="12700">
              <a:solidFill>
                <a:schemeClr val="accent6">
                  <a:lumMod val="50000"/>
                </a:schemeClr>
              </a:solidFill>
            </a:ln>
            <a:effectLst/>
          </c:spPr>
          <c:invertIfNegative val="0"/>
          <c:dLbls>
            <c:dLbl>
              <c:idx val="0"/>
              <c:layout>
                <c:manualLayout>
                  <c:x val="-1.4563107909418844E-3"/>
                  <c:y val="2.4606293160764853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D595-40A0-891F-18D7C2D02DA7}"/>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Goods'!$B$19:$C$19</c:f>
              <c:numCache>
                <c:formatCode>_-[$£-809]* #,##0.0_-;\-[$£-809]* #,##0.0_-;_-[$£-809]* "-"??_-;_-@_-</c:formatCode>
                <c:ptCount val="2"/>
                <c:pt idx="0">
                  <c:v>5.41</c:v>
                </c:pt>
                <c:pt idx="1">
                  <c:v>6.56</c:v>
                </c:pt>
              </c:numCache>
            </c:numRef>
          </c:val>
          <c:extLst>
            <c:ext xmlns:c16="http://schemas.microsoft.com/office/drawing/2014/chart" uri="{C3380CC4-5D6E-409C-BE32-E72D297353CC}">
              <c16:uniqueId val="{00000012-D595-40A0-891F-18D7C2D02DA7}"/>
            </c:ext>
          </c:extLst>
        </c:ser>
        <c:ser>
          <c:idx val="9"/>
          <c:order val="9"/>
          <c:tx>
            <c:strRef>
              <c:f>'3. Trade in Goods'!$A$20</c:f>
              <c:strCache>
                <c:ptCount val="1"/>
                <c:pt idx="0">
                  <c:v>Beverages</c:v>
                </c:pt>
              </c:strCache>
            </c:strRef>
          </c:tx>
          <c:spPr>
            <a:solidFill>
              <a:srgbClr val="78082B"/>
            </a:solidFill>
            <a:ln w="12700">
              <a:solidFill>
                <a:schemeClr val="accent4">
                  <a:lumMod val="50000"/>
                </a:schemeClr>
              </a:solidFill>
            </a:ln>
            <a:effectLst/>
          </c:spPr>
          <c:invertIfNegative val="0"/>
          <c:dLbls>
            <c:delete val="1"/>
          </c:dLbls>
          <c:cat>
            <c:strRef>
              <c:f>'3. Trade in Goods'!$B$10:$C$10</c:f>
              <c:strCache>
                <c:ptCount val="2"/>
                <c:pt idx="0">
                  <c:v>EU</c:v>
                </c:pt>
                <c:pt idx="1">
                  <c:v>non-EU</c:v>
                </c:pt>
              </c:strCache>
            </c:strRef>
          </c:cat>
          <c:val>
            <c:numRef>
              <c:f>'3. Trade in Goods'!$B$20:$C$20</c:f>
              <c:numCache>
                <c:formatCode>_-[$£-809]* #,##0.0_-;\-[$£-809]* #,##0.0_-;_-[$£-809]* "-"??_-;_-@_-</c:formatCode>
                <c:ptCount val="2"/>
                <c:pt idx="0">
                  <c:v>2.85</c:v>
                </c:pt>
                <c:pt idx="1">
                  <c:v>4.9400000000000004</c:v>
                </c:pt>
              </c:numCache>
            </c:numRef>
          </c:val>
          <c:extLst>
            <c:ext xmlns:c16="http://schemas.microsoft.com/office/drawing/2014/chart" uri="{C3380CC4-5D6E-409C-BE32-E72D297353CC}">
              <c16:uniqueId val="{00000013-D595-40A0-891F-18D7C2D02DA7}"/>
            </c:ext>
          </c:extLst>
        </c:ser>
        <c:ser>
          <c:idx val="10"/>
          <c:order val="10"/>
          <c:tx>
            <c:strRef>
              <c:f>'3. Trade in Goods'!$A$21</c:f>
              <c:strCache>
                <c:ptCount val="1"/>
                <c:pt idx="0">
                  <c:v>Other manufactured products</c:v>
                </c:pt>
              </c:strCache>
            </c:strRef>
          </c:tx>
          <c:spPr>
            <a:solidFill>
              <a:schemeClr val="accent5">
                <a:lumMod val="40000"/>
                <a:lumOff val="60000"/>
              </a:schemeClr>
            </a:solidFill>
            <a:ln w="12700">
              <a:solidFill>
                <a:schemeClr val="accent4">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Goods'!$B$21:$C$21</c:f>
              <c:numCache>
                <c:formatCode>_-[$£-809]* #,##0.0_-;\-[$£-809]* #,##0.0_-;_-[$£-809]* "-"??_-;_-@_-</c:formatCode>
                <c:ptCount val="2"/>
                <c:pt idx="0">
                  <c:v>33.860000000000028</c:v>
                </c:pt>
                <c:pt idx="1">
                  <c:v>24.359999999999957</c:v>
                </c:pt>
              </c:numCache>
            </c:numRef>
          </c:val>
          <c:extLst>
            <c:ext xmlns:c16="http://schemas.microsoft.com/office/drawing/2014/chart" uri="{C3380CC4-5D6E-409C-BE32-E72D297353CC}">
              <c16:uniqueId val="{00000014-D595-40A0-891F-18D7C2D02DA7}"/>
            </c:ext>
          </c:extLst>
        </c:ser>
        <c:ser>
          <c:idx val="11"/>
          <c:order val="11"/>
          <c:tx>
            <c:strRef>
              <c:f>'3. Trade in Goods'!$A$22</c:f>
              <c:strCache>
                <c:ptCount val="1"/>
                <c:pt idx="0">
                  <c:v>Products of agriculture, forestry &amp; fishing</c:v>
                </c:pt>
              </c:strCache>
            </c:strRef>
          </c:tx>
          <c:spPr>
            <a:solidFill>
              <a:schemeClr val="tx1"/>
            </a:solidFill>
            <a:ln w="12700">
              <a:solidFill>
                <a:schemeClr val="tx1">
                  <a:lumMod val="85000"/>
                  <a:lumOff val="15000"/>
                </a:schemeClr>
              </a:solidFill>
            </a:ln>
            <a:effectLst/>
          </c:spPr>
          <c:invertIfNegative val="0"/>
          <c:dLbls>
            <c:delete val="1"/>
          </c:dLbls>
          <c:cat>
            <c:strRef>
              <c:f>'3. Trade in Goods'!$B$10:$C$10</c:f>
              <c:strCache>
                <c:ptCount val="2"/>
                <c:pt idx="0">
                  <c:v>EU</c:v>
                </c:pt>
                <c:pt idx="1">
                  <c:v>non-EU</c:v>
                </c:pt>
              </c:strCache>
            </c:strRef>
          </c:cat>
          <c:val>
            <c:numRef>
              <c:f>'3. Trade in Goods'!$B$22:$C$22</c:f>
              <c:numCache>
                <c:formatCode>_-[$£-809]* #,##0.0_-;\-[$£-809]* #,##0.0_-;_-[$£-809]* "-"??_-;_-@_-</c:formatCode>
                <c:ptCount val="2"/>
                <c:pt idx="0">
                  <c:v>2.1989999999999998</c:v>
                </c:pt>
                <c:pt idx="1">
                  <c:v>0.90100000000000025</c:v>
                </c:pt>
              </c:numCache>
            </c:numRef>
          </c:val>
          <c:extLst>
            <c:ext xmlns:c16="http://schemas.microsoft.com/office/drawing/2014/chart" uri="{C3380CC4-5D6E-409C-BE32-E72D297353CC}">
              <c16:uniqueId val="{00000015-D595-40A0-891F-18D7C2D02DA7}"/>
            </c:ext>
          </c:extLst>
        </c:ser>
        <c:ser>
          <c:idx val="12"/>
          <c:order val="12"/>
          <c:tx>
            <c:strRef>
              <c:f>'3. Trade in Goods'!$A$23</c:f>
              <c:strCache>
                <c:ptCount val="1"/>
                <c:pt idx="0">
                  <c:v>Mining &amp; quarrying (Inc. crude oil &amp; gas)</c:v>
                </c:pt>
              </c:strCache>
            </c:strRef>
          </c:tx>
          <c:spPr>
            <a:solidFill>
              <a:schemeClr val="tx1">
                <a:lumMod val="65000"/>
                <a:lumOff val="35000"/>
              </a:schemeClr>
            </a:solidFill>
            <a:ln w="12700">
              <a:solidFill>
                <a:schemeClr val="tx1">
                  <a:lumMod val="85000"/>
                  <a:lumOff val="1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Goods'!$B$23:$C$23</c:f>
              <c:numCache>
                <c:formatCode>_-[$£-809]* #,##0.0_-;\-[$£-809]* #,##0.0_-;_-[$£-809]* "-"??_-;_-@_-</c:formatCode>
                <c:ptCount val="2"/>
                <c:pt idx="0">
                  <c:v>12.52</c:v>
                </c:pt>
                <c:pt idx="1">
                  <c:v>6.18</c:v>
                </c:pt>
              </c:numCache>
            </c:numRef>
          </c:val>
          <c:extLst>
            <c:ext xmlns:c16="http://schemas.microsoft.com/office/drawing/2014/chart" uri="{C3380CC4-5D6E-409C-BE32-E72D297353CC}">
              <c16:uniqueId val="{00000016-D595-40A0-891F-18D7C2D02DA7}"/>
            </c:ext>
          </c:extLst>
        </c:ser>
        <c:ser>
          <c:idx val="13"/>
          <c:order val="13"/>
          <c:tx>
            <c:strRef>
              <c:f>'3. Trade in Goods'!$A$24</c:f>
              <c:strCache>
                <c:ptCount val="1"/>
                <c:pt idx="0">
                  <c:v>Electricity, gas, steam &amp; air conditioning</c:v>
                </c:pt>
              </c:strCache>
            </c:strRef>
          </c:tx>
          <c:spPr>
            <a:solidFill>
              <a:schemeClr val="accent2">
                <a:lumMod val="80000"/>
                <a:lumOff val="20000"/>
              </a:schemeClr>
            </a:solidFill>
            <a:ln>
              <a:noFill/>
            </a:ln>
            <a:effectLst/>
          </c:spPr>
          <c:invertIfNegative val="0"/>
          <c:dLbls>
            <c:delete val="1"/>
          </c:dLbls>
          <c:cat>
            <c:strRef>
              <c:f>'3. Trade in Goods'!$B$10:$C$10</c:f>
              <c:strCache>
                <c:ptCount val="2"/>
                <c:pt idx="0">
                  <c:v>EU</c:v>
                </c:pt>
                <c:pt idx="1">
                  <c:v>non-EU</c:v>
                </c:pt>
              </c:strCache>
            </c:strRef>
          </c:cat>
          <c:val>
            <c:numRef>
              <c:f>'3. Trade in Goods'!$B$24:$C$24</c:f>
              <c:numCache>
                <c:formatCode>_-[$£-809]* #,##0.0_-;\-[$£-809]* #,##0.0_-;_-[$£-809]* "-"??_-;_-@_-</c:formatCode>
                <c:ptCount val="2"/>
                <c:pt idx="0">
                  <c:v>0.17499999999999999</c:v>
                </c:pt>
                <c:pt idx="1">
                  <c:v>2.5000000000000022E-2</c:v>
                </c:pt>
              </c:numCache>
            </c:numRef>
          </c:val>
          <c:extLst>
            <c:ext xmlns:c16="http://schemas.microsoft.com/office/drawing/2014/chart" uri="{C3380CC4-5D6E-409C-BE32-E72D297353CC}">
              <c16:uniqueId val="{00000017-D595-40A0-891F-18D7C2D02DA7}"/>
            </c:ext>
          </c:extLst>
        </c:ser>
        <c:ser>
          <c:idx val="14"/>
          <c:order val="14"/>
          <c:tx>
            <c:strRef>
              <c:f>'3. Trade in Goods'!$A$25</c:f>
              <c:strCache>
                <c:ptCount val="1"/>
                <c:pt idx="0">
                  <c:v>Water supply, sewerage &amp; waste management</c:v>
                </c:pt>
              </c:strCache>
            </c:strRef>
          </c:tx>
          <c:spPr>
            <a:solidFill>
              <a:schemeClr val="bg1">
                <a:lumMod val="75000"/>
              </a:schemeClr>
            </a:solidFill>
            <a:ln w="12700">
              <a:solidFill>
                <a:schemeClr val="tx1">
                  <a:lumMod val="65000"/>
                  <a:lumOff val="35000"/>
                </a:schemeClr>
              </a:solidFill>
            </a:ln>
            <a:effectLst/>
          </c:spPr>
          <c:invertIfNegative val="0"/>
          <c:dLbls>
            <c:delete val="1"/>
          </c:dLbls>
          <c:cat>
            <c:strRef>
              <c:f>'3. Trade in Goods'!$B$10:$C$10</c:f>
              <c:strCache>
                <c:ptCount val="2"/>
                <c:pt idx="0">
                  <c:v>EU</c:v>
                </c:pt>
                <c:pt idx="1">
                  <c:v>non-EU</c:v>
                </c:pt>
              </c:strCache>
            </c:strRef>
          </c:cat>
          <c:val>
            <c:numRef>
              <c:f>'3. Trade in Goods'!$B$25:$C$25</c:f>
              <c:numCache>
                <c:formatCode>_-[$£-809]* #,##0.0_-;\-[$£-809]* #,##0.0_-;_-[$£-809]* "-"??_-;_-@_-</c:formatCode>
                <c:ptCount val="2"/>
                <c:pt idx="0">
                  <c:v>1.365</c:v>
                </c:pt>
                <c:pt idx="1">
                  <c:v>4.1349999999999998</c:v>
                </c:pt>
              </c:numCache>
            </c:numRef>
          </c:val>
          <c:extLst>
            <c:ext xmlns:c16="http://schemas.microsoft.com/office/drawing/2014/chart" uri="{C3380CC4-5D6E-409C-BE32-E72D297353CC}">
              <c16:uniqueId val="{00000018-D595-40A0-891F-18D7C2D02DA7}"/>
            </c:ext>
          </c:extLst>
        </c:ser>
        <c:ser>
          <c:idx val="15"/>
          <c:order val="15"/>
          <c:tx>
            <c:strRef>
              <c:f>'3. Trade in Goods'!$A$26</c:f>
              <c:strCache>
                <c:ptCount val="1"/>
                <c:pt idx="0">
                  <c:v>Information &amp; communication services</c:v>
                </c:pt>
              </c:strCache>
            </c:strRef>
          </c:tx>
          <c:spPr>
            <a:solidFill>
              <a:schemeClr val="accent4">
                <a:lumMod val="80000"/>
                <a:lumOff val="20000"/>
              </a:schemeClr>
            </a:solidFill>
            <a:ln w="12700">
              <a:solidFill>
                <a:srgbClr val="F1581B"/>
              </a:solidFill>
            </a:ln>
            <a:effectLst/>
          </c:spPr>
          <c:invertIfNegative val="0"/>
          <c:dLbls>
            <c:delete val="1"/>
          </c:dLbls>
          <c:cat>
            <c:strRef>
              <c:f>'3. Trade in Goods'!$B$10:$C$10</c:f>
              <c:strCache>
                <c:ptCount val="2"/>
                <c:pt idx="0">
                  <c:v>EU</c:v>
                </c:pt>
                <c:pt idx="1">
                  <c:v>non-EU</c:v>
                </c:pt>
              </c:strCache>
            </c:strRef>
          </c:cat>
          <c:val>
            <c:numRef>
              <c:f>'3. Trade in Goods'!$B$26:$C$26</c:f>
              <c:numCache>
                <c:formatCode>_-[$£-809]* #,##0.0_-;\-[$£-809]* #,##0.0_-;_-[$£-809]* "-"??_-;_-@_-</c:formatCode>
                <c:ptCount val="2"/>
                <c:pt idx="0">
                  <c:v>1.82</c:v>
                </c:pt>
                <c:pt idx="1">
                  <c:v>1.8800000000000001</c:v>
                </c:pt>
              </c:numCache>
            </c:numRef>
          </c:val>
          <c:extLst>
            <c:ext xmlns:c16="http://schemas.microsoft.com/office/drawing/2014/chart" uri="{C3380CC4-5D6E-409C-BE32-E72D297353CC}">
              <c16:uniqueId val="{00000019-D595-40A0-891F-18D7C2D02DA7}"/>
            </c:ext>
          </c:extLst>
        </c:ser>
        <c:ser>
          <c:idx val="16"/>
          <c:order val="16"/>
          <c:tx>
            <c:strRef>
              <c:f>'3. Trade in Goods'!$A$27</c:f>
              <c:strCache>
                <c:ptCount val="1"/>
                <c:pt idx="0">
                  <c:v>Arts, entertainment &amp; recreation</c:v>
                </c:pt>
              </c:strCache>
            </c:strRef>
          </c:tx>
          <c:spPr>
            <a:solidFill>
              <a:srgbClr val="663300"/>
            </a:solidFill>
            <a:ln w="12700">
              <a:solidFill>
                <a:srgbClr val="450701"/>
              </a:solidFill>
            </a:ln>
            <a:effectLst/>
          </c:spPr>
          <c:invertIfNegative val="0"/>
          <c:dLbls>
            <c:delete val="1"/>
          </c:dLbls>
          <c:cat>
            <c:strRef>
              <c:f>'3. Trade in Goods'!$B$10:$C$10</c:f>
              <c:strCache>
                <c:ptCount val="2"/>
                <c:pt idx="0">
                  <c:v>EU</c:v>
                </c:pt>
                <c:pt idx="1">
                  <c:v>non-EU</c:v>
                </c:pt>
              </c:strCache>
            </c:strRef>
          </c:cat>
          <c:val>
            <c:numRef>
              <c:f>'3. Trade in Goods'!$B$27:$C$27</c:f>
              <c:numCache>
                <c:formatCode>_-[$£-809]* #,##0.0_-;\-[$£-809]* #,##0.0_-;_-[$£-809]* "-"??_-;_-@_-</c:formatCode>
                <c:ptCount val="2"/>
                <c:pt idx="0">
                  <c:v>0.14099999999999999</c:v>
                </c:pt>
                <c:pt idx="1">
                  <c:v>5.359</c:v>
                </c:pt>
              </c:numCache>
            </c:numRef>
          </c:val>
          <c:extLst>
            <c:ext xmlns:c16="http://schemas.microsoft.com/office/drawing/2014/chart" uri="{C3380CC4-5D6E-409C-BE32-E72D297353CC}">
              <c16:uniqueId val="{0000001A-D595-40A0-891F-18D7C2D02DA7}"/>
            </c:ext>
          </c:extLst>
        </c:ser>
        <c:dLbls>
          <c:dLblPos val="ctr"/>
          <c:showLegendKey val="0"/>
          <c:showVal val="1"/>
          <c:showCatName val="0"/>
          <c:showSerName val="0"/>
          <c:showPercent val="0"/>
          <c:showBubbleSize val="0"/>
        </c:dLbls>
        <c:gapWidth val="85"/>
        <c:overlap val="100"/>
        <c:axId val="592131296"/>
        <c:axId val="592132608"/>
      </c:barChart>
      <c:catAx>
        <c:axId val="592131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75000"/>
                    <a:lumOff val="25000"/>
                  </a:schemeClr>
                </a:solidFill>
                <a:latin typeface="+mn-lt"/>
                <a:ea typeface="+mn-ea"/>
                <a:cs typeface="+mn-cs"/>
              </a:defRPr>
            </a:pPr>
            <a:endParaRPr lang="en-US"/>
          </a:p>
        </c:txPr>
        <c:crossAx val="592132608"/>
        <c:crosses val="autoZero"/>
        <c:auto val="1"/>
        <c:lblAlgn val="ctr"/>
        <c:lblOffset val="100"/>
        <c:noMultiLvlLbl val="0"/>
      </c:catAx>
      <c:valAx>
        <c:axId val="592132608"/>
        <c:scaling>
          <c:orientation val="minMax"/>
          <c:max val="18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200" b="1"/>
                  <a:t>£ billion</a:t>
                </a:r>
              </a:p>
            </c:rich>
          </c:tx>
          <c:layout>
            <c:manualLayout>
              <c:xMode val="edge"/>
              <c:yMode val="edge"/>
              <c:x val="0.47880007841153072"/>
              <c:y val="0.65636732242078388"/>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809]* #,##0_-;\-[$£-809]* #,##0_-;_-[$£-809]* &quot;-&quot;_-;_-@_-" sourceLinked="0"/>
        <c:majorTickMark val="none"/>
        <c:minorTickMark val="none"/>
        <c:tickLblPos val="high"/>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92131296"/>
        <c:crosses val="autoZero"/>
        <c:crossBetween val="between"/>
      </c:valAx>
      <c:spPr>
        <a:noFill/>
        <a:ln>
          <a:noFill/>
        </a:ln>
        <a:effectLst/>
      </c:spPr>
    </c:plotArea>
    <c:legend>
      <c:legendPos val="b"/>
      <c:layout>
        <c:manualLayout>
          <c:xMode val="edge"/>
          <c:yMode val="edge"/>
          <c:x val="1.3799404770231999E-3"/>
          <c:y val="0.72412206519248956"/>
          <c:w val="0.98970605830621383"/>
          <c:h val="0.2758779348075104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UK-EU trade in goods: 1998 – 2017</a:t>
            </a:r>
          </a:p>
          <a:p>
            <a:pPr marL="0" marR="0" lvl="0" indent="0" algn="ctr" defTabSz="914400" rtl="0" eaLnBrk="1" fontAlgn="auto" latinLnBrk="0" hangingPunct="1">
              <a:lnSpc>
                <a:spcPct val="100000"/>
              </a:lnSpc>
              <a:spcBef>
                <a:spcPts val="0"/>
              </a:spcBef>
              <a:spcAft>
                <a:spcPts val="0"/>
              </a:spcAft>
              <a:buClrTx/>
              <a:buSzTx/>
              <a:buFontTx/>
              <a:buNone/>
              <a:tabLst/>
              <a:defRPr lang="en-AU" b="1">
                <a:solidFill>
                  <a:sysClr val="windowText" lastClr="000000">
                    <a:lumMod val="65000"/>
                    <a:lumOff val="35000"/>
                  </a:sysClr>
                </a:solidFill>
              </a:defRPr>
            </a:pPr>
            <a:endParaRPr lang="en-AU" sz="1400" b="1" i="0" u="none" strike="noStrike" kern="1200" spc="0" baseline="0">
              <a:solidFill>
                <a:sysClr val="windowText" lastClr="000000">
                  <a:lumMod val="65000"/>
                  <a:lumOff val="35000"/>
                </a:sysClr>
              </a:solidFill>
              <a:latin typeface="+mn-lt"/>
              <a:ea typeface="+mn-ea"/>
              <a:cs typeface="+mn-cs"/>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7.7586723911118996E-2"/>
          <c:y val="0.14883078394891275"/>
          <c:w val="0.90585532259978119"/>
          <c:h val="0.63545037472922417"/>
        </c:manualLayout>
      </c:layout>
      <c:barChart>
        <c:barDir val="col"/>
        <c:grouping val="clustered"/>
        <c:varyColors val="0"/>
        <c:ser>
          <c:idx val="0"/>
          <c:order val="0"/>
          <c:tx>
            <c:strRef>
              <c:f>'3. Trade in Goods'!$A$138</c:f>
              <c:strCache>
                <c:ptCount val="1"/>
                <c:pt idx="0">
                  <c:v>Total goods exports to EU</c:v>
                </c:pt>
              </c:strCache>
            </c:strRef>
          </c:tx>
          <c:spPr>
            <a:solidFill>
              <a:srgbClr val="800000"/>
            </a:solidFill>
            <a:ln>
              <a:solidFill>
                <a:srgbClr val="990000"/>
              </a:solidFill>
            </a:ln>
            <a:effectLst/>
          </c:spPr>
          <c:invertIfNegative val="0"/>
          <c:cat>
            <c:strRef>
              <c:f>'3. Trade in Goods'!$B$137:$U$137</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Goods'!$B$138:$U$138</c:f>
              <c:numCache>
                <c:formatCode>0.00</c:formatCode>
                <c:ptCount val="20"/>
                <c:pt idx="0">
                  <c:v>128.67737789203085</c:v>
                </c:pt>
                <c:pt idx="1">
                  <c:v>131.22051282051282</c:v>
                </c:pt>
                <c:pt idx="2">
                  <c:v>142.28751576292561</c:v>
                </c:pt>
                <c:pt idx="3">
                  <c:v>142.60450563204006</c:v>
                </c:pt>
                <c:pt idx="4">
                  <c:v>145.08975979772441</c:v>
                </c:pt>
                <c:pt idx="5">
                  <c:v>138.14727722772278</c:v>
                </c:pt>
                <c:pt idx="6">
                  <c:v>139.53291925465837</c:v>
                </c:pt>
                <c:pt idx="7">
                  <c:v>147.78181818181818</c:v>
                </c:pt>
                <c:pt idx="8">
                  <c:v>183.03937947494035</c:v>
                </c:pt>
                <c:pt idx="9">
                  <c:v>154.05769230769229</c:v>
                </c:pt>
                <c:pt idx="10">
                  <c:v>156.14473684210526</c:v>
                </c:pt>
                <c:pt idx="11">
                  <c:v>132.69693769799366</c:v>
                </c:pt>
                <c:pt idx="12">
                  <c:v>144.94282848545637</c:v>
                </c:pt>
                <c:pt idx="13">
                  <c:v>154.97906755470981</c:v>
                </c:pt>
                <c:pt idx="14">
                  <c:v>144.82526115859451</c:v>
                </c:pt>
                <c:pt idx="15">
                  <c:v>139.63342566943678</c:v>
                </c:pt>
                <c:pt idx="16">
                  <c:v>139.47958214624884</c:v>
                </c:pt>
                <c:pt idx="17">
                  <c:v>133.66399999999999</c:v>
                </c:pt>
                <c:pt idx="18">
                  <c:v>136.16889312977099</c:v>
                </c:pt>
                <c:pt idx="19">
                  <c:v>147.42228212039532</c:v>
                </c:pt>
              </c:numCache>
            </c:numRef>
          </c:val>
          <c:extLst>
            <c:ext xmlns:c16="http://schemas.microsoft.com/office/drawing/2014/chart" uri="{C3380CC4-5D6E-409C-BE32-E72D297353CC}">
              <c16:uniqueId val="{00000000-DF00-435B-BE9B-01A5A3F1FB93}"/>
            </c:ext>
          </c:extLst>
        </c:ser>
        <c:ser>
          <c:idx val="1"/>
          <c:order val="1"/>
          <c:tx>
            <c:strRef>
              <c:f>'3. Trade in Goods'!$A$139</c:f>
              <c:strCache>
                <c:ptCount val="1"/>
                <c:pt idx="0">
                  <c:v>Total goods imports from EU</c:v>
                </c:pt>
              </c:strCache>
            </c:strRef>
          </c:tx>
          <c:spPr>
            <a:solidFill>
              <a:srgbClr val="002060"/>
            </a:solidFill>
            <a:ln>
              <a:noFill/>
            </a:ln>
            <a:effectLst/>
          </c:spPr>
          <c:invertIfNegative val="0"/>
          <c:cat>
            <c:strRef>
              <c:f>'3. Trade in Goods'!$B$137:$U$137</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Goods'!$B$139:$U$139</c:f>
              <c:numCache>
                <c:formatCode>0.00</c:formatCode>
                <c:ptCount val="20"/>
                <c:pt idx="0">
                  <c:v>127.30602409638556</c:v>
                </c:pt>
                <c:pt idx="1">
                  <c:v>133.44309927360777</c:v>
                </c:pt>
                <c:pt idx="2">
                  <c:v>139.50413223140495</c:v>
                </c:pt>
                <c:pt idx="3">
                  <c:v>151.46745562130178</c:v>
                </c:pt>
                <c:pt idx="4">
                  <c:v>168.72815533980582</c:v>
                </c:pt>
                <c:pt idx="5">
                  <c:v>167.94939759036146</c:v>
                </c:pt>
                <c:pt idx="6">
                  <c:v>175.89377289377288</c:v>
                </c:pt>
                <c:pt idx="7">
                  <c:v>188.06957547169813</c:v>
                </c:pt>
                <c:pt idx="8">
                  <c:v>214.33602771362587</c:v>
                </c:pt>
                <c:pt idx="9">
                  <c:v>197.3271676300578</c:v>
                </c:pt>
                <c:pt idx="10">
                  <c:v>187.09621289662232</c:v>
                </c:pt>
                <c:pt idx="11">
                  <c:v>164.56972111553785</c:v>
                </c:pt>
                <c:pt idx="12">
                  <c:v>180.84807692307692</c:v>
                </c:pt>
                <c:pt idx="13">
                  <c:v>183.59009009009006</c:v>
                </c:pt>
                <c:pt idx="14">
                  <c:v>189.66212534059946</c:v>
                </c:pt>
                <c:pt idx="15">
                  <c:v>196.89828982898288</c:v>
                </c:pt>
                <c:pt idx="16">
                  <c:v>210.91533396048919</c:v>
                </c:pt>
                <c:pt idx="17">
                  <c:v>220.52199999999999</c:v>
                </c:pt>
                <c:pt idx="18">
                  <c:v>229.27176015473887</c:v>
                </c:pt>
                <c:pt idx="19">
                  <c:v>236.56946983546618</c:v>
                </c:pt>
              </c:numCache>
            </c:numRef>
          </c:val>
          <c:extLst>
            <c:ext xmlns:c16="http://schemas.microsoft.com/office/drawing/2014/chart" uri="{C3380CC4-5D6E-409C-BE32-E72D297353CC}">
              <c16:uniqueId val="{00000001-DF00-435B-BE9B-01A5A3F1FB93}"/>
            </c:ext>
          </c:extLst>
        </c:ser>
        <c:ser>
          <c:idx val="2"/>
          <c:order val="2"/>
          <c:tx>
            <c:strRef>
              <c:f>'3. Trade in Goods'!$A$140</c:f>
              <c:strCache>
                <c:ptCount val="1"/>
                <c:pt idx="0">
                  <c:v> Balance </c:v>
                </c:pt>
              </c:strCache>
            </c:strRef>
          </c:tx>
          <c:spPr>
            <a:solidFill>
              <a:schemeClr val="accent3"/>
            </a:solidFill>
            <a:ln>
              <a:solidFill>
                <a:schemeClr val="tx1">
                  <a:lumMod val="75000"/>
                  <a:lumOff val="25000"/>
                </a:schemeClr>
              </a:solidFill>
            </a:ln>
            <a:effectLst/>
          </c:spPr>
          <c:invertIfNegative val="0"/>
          <c:cat>
            <c:strRef>
              <c:f>'3. Trade in Goods'!$B$137:$U$137</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Goods'!$B$140:$U$140</c:f>
              <c:numCache>
                <c:formatCode>0.00</c:formatCode>
                <c:ptCount val="20"/>
                <c:pt idx="0">
                  <c:v>1.371353795645291</c:v>
                </c:pt>
                <c:pt idx="1">
                  <c:v>-2.222586453094948</c:v>
                </c:pt>
                <c:pt idx="2">
                  <c:v>2.7833835315206557</c:v>
                </c:pt>
                <c:pt idx="3">
                  <c:v>-8.8629499892617218</c:v>
                </c:pt>
                <c:pt idx="4">
                  <c:v>-23.638395542081412</c:v>
                </c:pt>
                <c:pt idx="5">
                  <c:v>-29.802120362638675</c:v>
                </c:pt>
                <c:pt idx="6">
                  <c:v>-36.360853639114509</c:v>
                </c:pt>
                <c:pt idx="7">
                  <c:v>-40.287757289879949</c:v>
                </c:pt>
                <c:pt idx="8">
                  <c:v>-31.29664823868552</c:v>
                </c:pt>
                <c:pt idx="9">
                  <c:v>-43.269475322365508</c:v>
                </c:pt>
                <c:pt idx="10">
                  <c:v>-30.951476054517059</c:v>
                </c:pt>
                <c:pt idx="11">
                  <c:v>-31.872783417544184</c:v>
                </c:pt>
                <c:pt idx="12">
                  <c:v>-35.905248437620543</c:v>
                </c:pt>
                <c:pt idx="13">
                  <c:v>-28.611022535380243</c:v>
                </c:pt>
                <c:pt idx="14">
                  <c:v>-44.836864182004945</c:v>
                </c:pt>
                <c:pt idx="15">
                  <c:v>-57.264864159546107</c:v>
                </c:pt>
                <c:pt idx="16">
                  <c:v>-71.435751814240348</c:v>
                </c:pt>
                <c:pt idx="17">
                  <c:v>-86.858000000000004</c:v>
                </c:pt>
                <c:pt idx="18">
                  <c:v>-93.102867024967878</c:v>
                </c:pt>
                <c:pt idx="19" formatCode="_-[$£-809]* #,##0.00_-;\-[$£-809]* #,##0.00_-;_-[$£-809]* &quot;-&quot;??_-;_-@_-">
                  <c:v>-89.147187715070856</c:v>
                </c:pt>
              </c:numCache>
            </c:numRef>
          </c:val>
          <c:extLst>
            <c:ext xmlns:c16="http://schemas.microsoft.com/office/drawing/2014/chart" uri="{C3380CC4-5D6E-409C-BE32-E72D297353CC}">
              <c16:uniqueId val="{00000002-DF00-435B-BE9B-01A5A3F1FB93}"/>
            </c:ext>
          </c:extLst>
        </c:ser>
        <c:dLbls>
          <c:showLegendKey val="0"/>
          <c:showVal val="0"/>
          <c:showCatName val="0"/>
          <c:showSerName val="0"/>
          <c:showPercent val="0"/>
          <c:showBubbleSize val="0"/>
        </c:dLbls>
        <c:gapWidth val="219"/>
        <c:overlap val="-27"/>
        <c:axId val="516891728"/>
        <c:axId val="516890416"/>
      </c:barChart>
      <c:catAx>
        <c:axId val="51689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crossAx val="516890416"/>
        <c:crosses val="autoZero"/>
        <c:auto val="1"/>
        <c:lblAlgn val="ctr"/>
        <c:lblOffset val="1000"/>
        <c:noMultiLvlLbl val="0"/>
      </c:catAx>
      <c:valAx>
        <c:axId val="516890416"/>
        <c:scaling>
          <c:orientation val="minMax"/>
          <c:max val="25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AU" b="1"/>
                  <a:t>£ billion</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16891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a:solidFill>
                  <a:schemeClr val="tx1">
                    <a:lumMod val="75000"/>
                    <a:lumOff val="25000"/>
                  </a:schemeClr>
                </a:solidFill>
              </a:rPr>
              <a:t>Annual Growth Rates</a:t>
            </a:r>
            <a:r>
              <a:rPr lang="en-AU" b="1" baseline="0">
                <a:solidFill>
                  <a:schemeClr val="tx1">
                    <a:lumMod val="75000"/>
                    <a:lumOff val="25000"/>
                  </a:schemeClr>
                </a:solidFill>
              </a:rPr>
              <a:t>, 1998 </a:t>
            </a:r>
            <a:r>
              <a:rPr lang="en-AU" b="1" baseline="0">
                <a:solidFill>
                  <a:schemeClr val="tx1">
                    <a:lumMod val="75000"/>
                    <a:lumOff val="25000"/>
                  </a:schemeClr>
                </a:solidFill>
                <a:latin typeface="Calibri" panose="020F0502020204030204" pitchFamily="34" charset="0"/>
                <a:cs typeface="Calibri" panose="020F0502020204030204" pitchFamily="34" charset="0"/>
              </a:rPr>
              <a:t>‒ 2017</a:t>
            </a:r>
            <a:endParaRPr lang="en-AU" b="1">
              <a:solidFill>
                <a:schemeClr val="tx1">
                  <a:lumMod val="75000"/>
                  <a:lumOff val="25000"/>
                </a:schemeClr>
              </a:solidFill>
            </a:endParaRPr>
          </a:p>
        </c:rich>
      </c:tx>
      <c:layout>
        <c:manualLayout>
          <c:xMode val="edge"/>
          <c:yMode val="edge"/>
          <c:x val="0.21011789151356078"/>
          <c:y val="5.504587155963303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002060"/>
            </a:solidFill>
            <a:ln>
              <a:noFill/>
            </a:ln>
            <a:effectLst/>
          </c:spPr>
          <c:invertIfNegative val="0"/>
          <c:dPt>
            <c:idx val="1"/>
            <c:invertIfNegative val="0"/>
            <c:bubble3D val="0"/>
            <c:spPr>
              <a:solidFill>
                <a:srgbClr val="800000"/>
              </a:solidFill>
              <a:ln>
                <a:noFill/>
              </a:ln>
              <a:effectLst/>
            </c:spPr>
            <c:extLst>
              <c:ext xmlns:c16="http://schemas.microsoft.com/office/drawing/2014/chart" uri="{C3380CC4-5D6E-409C-BE32-E72D297353CC}">
                <c16:uniqueId val="{00000001-6DBE-48DE-8A1D-D97FF14FBD6E}"/>
              </c:ext>
            </c:extLst>
          </c:dPt>
          <c:dPt>
            <c:idx val="2"/>
            <c:invertIfNegative val="0"/>
            <c:bubble3D val="0"/>
            <c:spPr>
              <a:solidFill>
                <a:srgbClr val="062B03"/>
              </a:solidFill>
              <a:ln>
                <a:noFill/>
              </a:ln>
              <a:effectLst/>
            </c:spPr>
            <c:extLst>
              <c:ext xmlns:c16="http://schemas.microsoft.com/office/drawing/2014/chart" uri="{C3380CC4-5D6E-409C-BE32-E72D297353CC}">
                <c16:uniqueId val="{00000002-6DBE-48DE-8A1D-D97FF14FBD6E}"/>
              </c:ext>
            </c:extLst>
          </c:dPt>
          <c:dPt>
            <c:idx val="3"/>
            <c:invertIfNegative val="0"/>
            <c:bubble3D val="0"/>
            <c:spPr>
              <a:solidFill>
                <a:schemeClr val="accent2">
                  <a:lumMod val="50000"/>
                </a:schemeClr>
              </a:solidFill>
              <a:ln>
                <a:noFill/>
              </a:ln>
              <a:effectLst/>
            </c:spPr>
            <c:extLst>
              <c:ext xmlns:c16="http://schemas.microsoft.com/office/drawing/2014/chart" uri="{C3380CC4-5D6E-409C-BE32-E72D297353CC}">
                <c16:uniqueId val="{00000003-6DBE-48DE-8A1D-D97FF14FBD6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Goods'!$A$257:$A$260</c:f>
              <c:strCache>
                <c:ptCount val="4"/>
                <c:pt idx="0">
                  <c:v>UK Goods Exports to EU</c:v>
                </c:pt>
                <c:pt idx="1">
                  <c:v>UK Productivity </c:v>
                </c:pt>
                <c:pt idx="2">
                  <c:v>Eurozone GDP*</c:v>
                </c:pt>
                <c:pt idx="3">
                  <c:v>US Goods Exports to EU </c:v>
                </c:pt>
              </c:strCache>
            </c:strRef>
          </c:cat>
          <c:val>
            <c:numRef>
              <c:f>'3. Trade in Goods'!$B$257:$B$260</c:f>
              <c:numCache>
                <c:formatCode>0.00%</c:formatCode>
                <c:ptCount val="4"/>
                <c:pt idx="0">
                  <c:v>2.1661529189782591E-3</c:v>
                </c:pt>
                <c:pt idx="1">
                  <c:v>1.1850000000000001E-2</c:v>
                </c:pt>
                <c:pt idx="2">
                  <c:v>1.5599999999999999E-2</c:v>
                </c:pt>
                <c:pt idx="3">
                  <c:v>2.1059431149278218E-2</c:v>
                </c:pt>
              </c:numCache>
            </c:numRef>
          </c:val>
          <c:extLst>
            <c:ext xmlns:c16="http://schemas.microsoft.com/office/drawing/2014/chart" uri="{C3380CC4-5D6E-409C-BE32-E72D297353CC}">
              <c16:uniqueId val="{00000000-6DBE-48DE-8A1D-D97FF14FBD6E}"/>
            </c:ext>
          </c:extLst>
        </c:ser>
        <c:dLbls>
          <c:showLegendKey val="0"/>
          <c:showVal val="0"/>
          <c:showCatName val="0"/>
          <c:showSerName val="0"/>
          <c:showPercent val="0"/>
          <c:showBubbleSize val="0"/>
        </c:dLbls>
        <c:gapWidth val="117"/>
        <c:overlap val="-27"/>
        <c:axId val="575806384"/>
        <c:axId val="575803432"/>
      </c:barChart>
      <c:catAx>
        <c:axId val="57580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crossAx val="575803432"/>
        <c:crosses val="autoZero"/>
        <c:auto val="1"/>
        <c:lblAlgn val="ctr"/>
        <c:lblOffset val="100"/>
        <c:noMultiLvlLbl val="0"/>
      </c:catAx>
      <c:valAx>
        <c:axId val="575803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crossAx val="5758063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r>
              <a:rPr lang="en-AU" sz="1800" b="0" i="0" baseline="0">
                <a:solidFill>
                  <a:schemeClr val="tx1">
                    <a:lumMod val="75000"/>
                    <a:lumOff val="25000"/>
                  </a:schemeClr>
                </a:solidFill>
                <a:effectLst/>
              </a:rPr>
              <a:t>Comparative Nominal Goods Exports to EU: </a:t>
            </a:r>
          </a:p>
          <a:p>
            <a:pPr>
              <a:defRPr>
                <a:solidFill>
                  <a:schemeClr val="tx1">
                    <a:lumMod val="75000"/>
                    <a:lumOff val="25000"/>
                  </a:schemeClr>
                </a:solidFill>
              </a:defRPr>
            </a:pPr>
            <a:r>
              <a:rPr lang="en-AU" sz="1800" b="0" i="0" baseline="0">
                <a:solidFill>
                  <a:schemeClr val="tx1">
                    <a:lumMod val="75000"/>
                    <a:lumOff val="25000"/>
                  </a:schemeClr>
                </a:solidFill>
                <a:effectLst/>
              </a:rPr>
              <a:t>UK &amp; US, 1998‒2017</a:t>
            </a:r>
            <a:endParaRPr lang="en-AU">
              <a:solidFill>
                <a:schemeClr val="tx1">
                  <a:lumMod val="75000"/>
                  <a:lumOff val="25000"/>
                </a:schemeClr>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'3. Trade in Goods'!$D$321</c:f>
              <c:strCache>
                <c:ptCount val="1"/>
                <c:pt idx="0">
                  <c:v>UK Exports to EU</c:v>
                </c:pt>
              </c:strCache>
            </c:strRef>
          </c:tx>
          <c:spPr>
            <a:ln w="28575" cap="rnd">
              <a:solidFill>
                <a:srgbClr val="002060"/>
              </a:solidFill>
              <a:round/>
            </a:ln>
            <a:effectLst/>
          </c:spPr>
          <c:marker>
            <c:symbol val="none"/>
          </c:marker>
          <c:cat>
            <c:strRef>
              <c:f>'3. Trade in Goods'!$E$320:$X$320</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Goods'!$E$321:$X$321</c:f>
              <c:numCache>
                <c:formatCode>General</c:formatCode>
                <c:ptCount val="20"/>
                <c:pt idx="0">
                  <c:v>100.111</c:v>
                </c:pt>
                <c:pt idx="1">
                  <c:v>102.352</c:v>
                </c:pt>
                <c:pt idx="2">
                  <c:v>112.834</c:v>
                </c:pt>
                <c:pt idx="3">
                  <c:v>113.941</c:v>
                </c:pt>
                <c:pt idx="4">
                  <c:v>114.76600000000001</c:v>
                </c:pt>
                <c:pt idx="5">
                  <c:v>111.623</c:v>
                </c:pt>
                <c:pt idx="6">
                  <c:v>112.324</c:v>
                </c:pt>
                <c:pt idx="7">
                  <c:v>121.92</c:v>
                </c:pt>
                <c:pt idx="8">
                  <c:v>153.387</c:v>
                </c:pt>
                <c:pt idx="9">
                  <c:v>128.17599999999999</c:v>
                </c:pt>
                <c:pt idx="10">
                  <c:v>142.404</c:v>
                </c:pt>
                <c:pt idx="11">
                  <c:v>125.664</c:v>
                </c:pt>
                <c:pt idx="12">
                  <c:v>144.50800000000001</c:v>
                </c:pt>
                <c:pt idx="13">
                  <c:v>162.88300000000001</c:v>
                </c:pt>
                <c:pt idx="14">
                  <c:v>152.501</c:v>
                </c:pt>
                <c:pt idx="15">
                  <c:v>151.22300000000001</c:v>
                </c:pt>
                <c:pt idx="16">
                  <c:v>146.87200000000001</c:v>
                </c:pt>
                <c:pt idx="17">
                  <c:v>133.66399999999999</c:v>
                </c:pt>
                <c:pt idx="18">
                  <c:v>142.70500000000001</c:v>
                </c:pt>
                <c:pt idx="19">
                  <c:v>164.08099999999999</c:v>
                </c:pt>
              </c:numCache>
            </c:numRef>
          </c:val>
          <c:smooth val="0"/>
          <c:extLst>
            <c:ext xmlns:c16="http://schemas.microsoft.com/office/drawing/2014/chart" uri="{C3380CC4-5D6E-409C-BE32-E72D297353CC}">
              <c16:uniqueId val="{00000000-461C-49F5-9087-1462F710CF12}"/>
            </c:ext>
          </c:extLst>
        </c:ser>
        <c:ser>
          <c:idx val="1"/>
          <c:order val="1"/>
          <c:tx>
            <c:strRef>
              <c:f>'3. Trade in Goods'!$D$322</c:f>
              <c:strCache>
                <c:ptCount val="1"/>
                <c:pt idx="0">
                  <c:v>US Exports to EU</c:v>
                </c:pt>
              </c:strCache>
            </c:strRef>
          </c:tx>
          <c:spPr>
            <a:ln w="28575" cap="rnd">
              <a:solidFill>
                <a:srgbClr val="990000"/>
              </a:solidFill>
              <a:round/>
            </a:ln>
            <a:effectLst/>
          </c:spPr>
          <c:marker>
            <c:symbol val="none"/>
          </c:marker>
          <c:cat>
            <c:strRef>
              <c:f>'3. Trade in Goods'!$E$320:$X$320</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Goods'!$E$322:$X$322</c:f>
              <c:numCache>
                <c:formatCode>0.00</c:formatCode>
                <c:ptCount val="20"/>
                <c:pt idx="0">
                  <c:v>91.649080494422662</c:v>
                </c:pt>
                <c:pt idx="1">
                  <c:v>95.673671199011125</c:v>
                </c:pt>
                <c:pt idx="2">
                  <c:v>111.02310231023102</c:v>
                </c:pt>
                <c:pt idx="3">
                  <c:v>112.43055555555556</c:v>
                </c:pt>
                <c:pt idx="4">
                  <c:v>97.733333333333334</c:v>
                </c:pt>
                <c:pt idx="5">
                  <c:v>95.229357798165125</c:v>
                </c:pt>
                <c:pt idx="6">
                  <c:v>93.398799781778507</c:v>
                </c:pt>
                <c:pt idx="7">
                  <c:v>101.75824175824175</c:v>
                </c:pt>
                <c:pt idx="8">
                  <c:v>114.97558328811721</c:v>
                </c:pt>
                <c:pt idx="9">
                  <c:v>121.97802197802199</c:v>
                </c:pt>
                <c:pt idx="10">
                  <c:v>146.52291105121296</c:v>
                </c:pt>
                <c:pt idx="11">
                  <c:v>140.95846645367413</c:v>
                </c:pt>
                <c:pt idx="12">
                  <c:v>154.98059508408795</c:v>
                </c:pt>
                <c:pt idx="13">
                  <c:v>167.76807980049875</c:v>
                </c:pt>
                <c:pt idx="14">
                  <c:v>167.44479495268138</c:v>
                </c:pt>
                <c:pt idx="15">
                  <c:v>167.47603833865816</c:v>
                </c:pt>
                <c:pt idx="16">
                  <c:v>167.65776699029126</c:v>
                </c:pt>
                <c:pt idx="17">
                  <c:v>177.8286461739699</c:v>
                </c:pt>
                <c:pt idx="18">
                  <c:v>198.74631268436576</c:v>
                </c:pt>
                <c:pt idx="19">
                  <c:v>219.78277734678048</c:v>
                </c:pt>
              </c:numCache>
            </c:numRef>
          </c:val>
          <c:smooth val="0"/>
          <c:extLst>
            <c:ext xmlns:c16="http://schemas.microsoft.com/office/drawing/2014/chart" uri="{C3380CC4-5D6E-409C-BE32-E72D297353CC}">
              <c16:uniqueId val="{00000001-461C-49F5-9087-1462F710CF12}"/>
            </c:ext>
          </c:extLst>
        </c:ser>
        <c:dLbls>
          <c:showLegendKey val="0"/>
          <c:showVal val="0"/>
          <c:showCatName val="0"/>
          <c:showSerName val="0"/>
          <c:showPercent val="0"/>
          <c:showBubbleSize val="0"/>
        </c:dLbls>
        <c:smooth val="0"/>
        <c:axId val="818235600"/>
        <c:axId val="818233960"/>
      </c:lineChart>
      <c:catAx>
        <c:axId val="81823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crossAx val="818233960"/>
        <c:crosses val="autoZero"/>
        <c:auto val="1"/>
        <c:lblAlgn val="ctr"/>
        <c:lblOffset val="100"/>
        <c:noMultiLvlLbl val="0"/>
      </c:catAx>
      <c:valAx>
        <c:axId val="818233960"/>
        <c:scaling>
          <c:orientation val="minMax"/>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r>
                  <a:rPr lang="en-AU">
                    <a:solidFill>
                      <a:schemeClr val="tx1">
                        <a:lumMod val="75000"/>
                        <a:lumOff val="25000"/>
                      </a:schemeClr>
                    </a:solidFill>
                    <a:latin typeface="Calibri" panose="020F0502020204030204" pitchFamily="34" charset="0"/>
                    <a:cs typeface="Calibri" panose="020F0502020204030204" pitchFamily="34" charset="0"/>
                  </a:rPr>
                  <a:t>£ billion in currenct exchange</a:t>
                </a:r>
                <a:r>
                  <a:rPr lang="en-AU" baseline="0">
                    <a:solidFill>
                      <a:schemeClr val="tx1">
                        <a:lumMod val="75000"/>
                        <a:lumOff val="25000"/>
                      </a:schemeClr>
                    </a:solidFill>
                    <a:latin typeface="Calibri" panose="020F0502020204030204" pitchFamily="34" charset="0"/>
                    <a:cs typeface="Calibri" panose="020F0502020204030204" pitchFamily="34" charset="0"/>
                  </a:rPr>
                  <a:t> rates</a:t>
                </a:r>
                <a:endParaRPr lang="en-AU">
                  <a:solidFill>
                    <a:schemeClr val="tx1">
                      <a:lumMod val="75000"/>
                      <a:lumOff val="25000"/>
                    </a:schemeClr>
                  </a:solidFill>
                </a:endParaRPr>
              </a:p>
            </c:rich>
          </c:tx>
          <c:layout>
            <c:manualLayout>
              <c:xMode val="edge"/>
              <c:yMode val="edge"/>
              <c:x val="1.6119399196286473E-2"/>
              <c:y val="0.147916666666666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title>
        <c:numFmt formatCode="[$£-809]#,##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818235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50" baseline="0">
                <a:solidFill>
                  <a:schemeClr val="tx1">
                    <a:lumMod val="65000"/>
                    <a:lumOff val="35000"/>
                  </a:schemeClr>
                </a:solidFill>
                <a:latin typeface="+mn-lt"/>
                <a:ea typeface="+mn-ea"/>
                <a:cs typeface="+mn-cs"/>
              </a:defRPr>
            </a:pPr>
            <a:r>
              <a:rPr lang="en-AU" cap="none" baseline="0"/>
              <a:t>UK manufacturing exports: 1998</a:t>
            </a:r>
          </a:p>
          <a:p>
            <a:pPr>
              <a:defRPr cap="none"/>
            </a:pPr>
            <a:r>
              <a:rPr lang="en-AU" sz="1200" cap="none" baseline="0"/>
              <a:t>Total: </a:t>
            </a:r>
            <a:r>
              <a:rPr lang="en-AU" sz="1200" cap="none" baseline="0">
                <a:latin typeface="Calibri" panose="020F0502020204030204" pitchFamily="34" charset="0"/>
                <a:cs typeface="Calibri" panose="020F0502020204030204" pitchFamily="34" charset="0"/>
              </a:rPr>
              <a:t>£149.8 bn</a:t>
            </a:r>
            <a:endParaRPr lang="en-AU" sz="1200" cap="none" baseline="0"/>
          </a:p>
        </c:rich>
      </c:tx>
      <c:layout>
        <c:manualLayout>
          <c:xMode val="edge"/>
          <c:yMode val="edge"/>
          <c:x val="0.15608419838523646"/>
          <c:y val="4.4117647058823532E-2"/>
        </c:manualLayout>
      </c:layout>
      <c:overlay val="0"/>
      <c:spPr>
        <a:noFill/>
        <a:ln>
          <a:noFill/>
        </a:ln>
        <a:effectLst/>
      </c:spPr>
      <c:txPr>
        <a:bodyPr rot="0" spcFirstLastPara="1" vertOverflow="ellipsis" vert="horz" wrap="square" anchor="ctr" anchorCtr="1"/>
        <a:lstStyle/>
        <a:p>
          <a:pPr>
            <a:defRPr sz="1400" b="1" i="0" u="none" strike="noStrike" kern="1200" cap="none" spc="5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102952282287766"/>
          <c:y val="0.19937797953827199"/>
          <c:w val="0.41357072633250608"/>
          <c:h val="0.70217941507311588"/>
        </c:manualLayout>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0F28-43B1-BCE4-72E6FA1DAFBB}"/>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0F28-43B1-BCE4-72E6FA1DAFBB}"/>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0F28-43B1-BCE4-72E6FA1DAFBB}"/>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0F28-43B1-BCE4-72E6FA1DAFBB}"/>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0F28-43B1-BCE4-72E6FA1DAFBB}"/>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0F28-43B1-BCE4-72E6FA1DAFBB}"/>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0F28-43B1-BCE4-72E6FA1DAFBB}"/>
              </c:ext>
            </c:extLst>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F-0F28-43B1-BCE4-72E6FA1DAFBB}"/>
              </c:ext>
            </c:extLst>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1-0F28-43B1-BCE4-72E6FA1DAFBB}"/>
              </c:ext>
            </c:extLst>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3-0F28-43B1-BCE4-72E6FA1DAFBB}"/>
              </c:ext>
            </c:extLst>
          </c:dPt>
          <c:dPt>
            <c:idx val="10"/>
            <c:bubble3D val="0"/>
            <c:spPr>
              <a:solidFill>
                <a:schemeClr val="accent5">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5-0F28-43B1-BCE4-72E6FA1DAFBB}"/>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'Old_2016 Data Manufacturing'!$A$32:$A$42</c:f>
              <c:strCache>
                <c:ptCount val="11"/>
                <c:pt idx="0">
                  <c:v>1. Motor vehicles </c:v>
                </c:pt>
                <c:pt idx="1">
                  <c:v>2. Transport</c:v>
                </c:pt>
                <c:pt idx="2">
                  <c:v>3. Machinery</c:v>
                </c:pt>
                <c:pt idx="3">
                  <c:v>4. Pharmaceuticals</c:v>
                </c:pt>
                <c:pt idx="4">
                  <c:v>5. Chemicals</c:v>
                </c:pt>
                <c:pt idx="5">
                  <c:v>6. Computers, electronics etc.</c:v>
                </c:pt>
                <c:pt idx="6">
                  <c:v>7. Basic metals</c:v>
                </c:pt>
                <c:pt idx="7">
                  <c:v>8. Food products</c:v>
                </c:pt>
                <c:pt idx="8">
                  <c:v>9. Electrical</c:v>
                </c:pt>
                <c:pt idx="9">
                  <c:v>10. Beverages</c:v>
                </c:pt>
                <c:pt idx="10">
                  <c:v>Other manufactured</c:v>
                </c:pt>
              </c:strCache>
            </c:strRef>
          </c:cat>
          <c:val>
            <c:numRef>
              <c:f>'Old_2016 Data Manufacturing'!$B$32:$B$42</c:f>
              <c:numCache>
                <c:formatCode>_-[$£-809]* #,##0.0_-;\-[$£-809]* #,##0.0_-;_-[$£-809]* "-"??_-;_-@_-</c:formatCode>
                <c:ptCount val="11"/>
                <c:pt idx="0">
                  <c:v>15.856999999999999</c:v>
                </c:pt>
                <c:pt idx="1">
                  <c:v>11.709</c:v>
                </c:pt>
                <c:pt idx="2">
                  <c:v>17.771000000000001</c:v>
                </c:pt>
                <c:pt idx="3">
                  <c:v>6.2160000000000002</c:v>
                </c:pt>
                <c:pt idx="4">
                  <c:v>16.193999999999999</c:v>
                </c:pt>
                <c:pt idx="5">
                  <c:v>31.335999999999999</c:v>
                </c:pt>
                <c:pt idx="6">
                  <c:v>6.0549999999999997</c:v>
                </c:pt>
                <c:pt idx="7">
                  <c:v>5.6379999999999999</c:v>
                </c:pt>
                <c:pt idx="8">
                  <c:v>7.17</c:v>
                </c:pt>
                <c:pt idx="9">
                  <c:v>3.0129999999999999</c:v>
                </c:pt>
                <c:pt idx="10">
                  <c:v>28.791999999999987</c:v>
                </c:pt>
              </c:numCache>
            </c:numRef>
          </c:val>
          <c:extLst>
            <c:ext xmlns:c16="http://schemas.microsoft.com/office/drawing/2014/chart" uri="{C3380CC4-5D6E-409C-BE32-E72D297353CC}">
              <c16:uniqueId val="{00000016-0F28-43B1-BCE4-72E6FA1DAFBB}"/>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55527114041540659"/>
          <c:y val="0.22172456384128456"/>
          <c:w val="0.41650488827573467"/>
          <c:h val="0.72932662886051158"/>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US"/>
              <a:t>Annual growth in UK imports: CAGR 1998 </a:t>
            </a:r>
            <a:r>
              <a:rPr lang="en-US" sz="1400" b="1" i="0" u="none" strike="noStrike" baseline="0">
                <a:effectLst/>
              </a:rPr>
              <a:t>‒</a:t>
            </a:r>
            <a:r>
              <a:rPr lang="en-US"/>
              <a:t> 2017</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5.9653718285214347E-2"/>
          <c:y val="0.16245370370370371"/>
          <c:w val="0.91812405949256348"/>
          <c:h val="0.46242275970371516"/>
        </c:manualLayout>
      </c:layout>
      <c:barChart>
        <c:barDir val="col"/>
        <c:grouping val="clustered"/>
        <c:varyColors val="0"/>
        <c:ser>
          <c:idx val="0"/>
          <c:order val="0"/>
          <c:tx>
            <c:strRef>
              <c:f>'1. All Trade'!$B$48</c:f>
              <c:strCache>
                <c:ptCount val="1"/>
                <c:pt idx="0">
                  <c:v>CAGR 1998/99 - 2017</c:v>
                </c:pt>
              </c:strCache>
            </c:strRef>
          </c:tx>
          <c:spPr>
            <a:solidFill>
              <a:schemeClr val="accent1"/>
            </a:solidFill>
            <a:ln w="9525">
              <a:solidFill>
                <a:srgbClr val="062B03"/>
              </a:solidFill>
            </a:ln>
            <a:effectLst/>
          </c:spPr>
          <c:invertIfNegative val="0"/>
          <c:dPt>
            <c:idx val="0"/>
            <c:invertIfNegative val="0"/>
            <c:bubble3D val="0"/>
            <c:spPr>
              <a:solidFill>
                <a:srgbClr val="002776"/>
              </a:solidFill>
              <a:ln w="9525">
                <a:solidFill>
                  <a:srgbClr val="062B03"/>
                </a:solidFill>
              </a:ln>
              <a:effectLst/>
            </c:spPr>
            <c:extLst>
              <c:ext xmlns:c16="http://schemas.microsoft.com/office/drawing/2014/chart" uri="{C3380CC4-5D6E-409C-BE32-E72D297353CC}">
                <c16:uniqueId val="{0000000C-1DC8-4520-9514-A6807E1A7822}"/>
              </c:ext>
            </c:extLst>
          </c:dPt>
          <c:dPt>
            <c:idx val="1"/>
            <c:invertIfNegative val="0"/>
            <c:bubble3D val="0"/>
            <c:spPr>
              <a:solidFill>
                <a:srgbClr val="3F78A7"/>
              </a:solidFill>
              <a:ln w="9525">
                <a:solidFill>
                  <a:srgbClr val="062B03"/>
                </a:solidFill>
              </a:ln>
              <a:effectLst/>
            </c:spPr>
            <c:extLst>
              <c:ext xmlns:c16="http://schemas.microsoft.com/office/drawing/2014/chart" uri="{C3380CC4-5D6E-409C-BE32-E72D297353CC}">
                <c16:uniqueId val="{00000003-E74F-4B69-8948-725E48A6F3BF}"/>
              </c:ext>
            </c:extLst>
          </c:dPt>
          <c:dPt>
            <c:idx val="2"/>
            <c:invertIfNegative val="0"/>
            <c:bubble3D val="0"/>
            <c:spPr>
              <a:solidFill>
                <a:srgbClr val="D78397"/>
              </a:solidFill>
              <a:ln w="9525">
                <a:solidFill>
                  <a:srgbClr val="062B03"/>
                </a:solidFill>
              </a:ln>
              <a:effectLst/>
            </c:spPr>
            <c:extLst>
              <c:ext xmlns:c16="http://schemas.microsoft.com/office/drawing/2014/chart" uri="{C3380CC4-5D6E-409C-BE32-E72D297353CC}">
                <c16:uniqueId val="{00000005-E74F-4B69-8948-725E48A6F3BF}"/>
              </c:ext>
            </c:extLst>
          </c:dPt>
          <c:dPt>
            <c:idx val="3"/>
            <c:invertIfNegative val="0"/>
            <c:bubble3D val="0"/>
            <c:spPr>
              <a:solidFill>
                <a:srgbClr val="990000"/>
              </a:solidFill>
              <a:ln w="9525">
                <a:solidFill>
                  <a:srgbClr val="062B03"/>
                </a:solidFill>
              </a:ln>
              <a:effectLst/>
            </c:spPr>
            <c:extLst>
              <c:ext xmlns:c16="http://schemas.microsoft.com/office/drawing/2014/chart" uri="{C3380CC4-5D6E-409C-BE32-E72D297353CC}">
                <c16:uniqueId val="{00000007-E74F-4B69-8948-725E48A6F3BF}"/>
              </c:ext>
            </c:extLst>
          </c:dPt>
          <c:dLbls>
            <c:dLbl>
              <c:idx val="1"/>
              <c:layout>
                <c:manualLayout>
                  <c:x val="0"/>
                  <c:y val="0.1168980814017966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4F-4B69-8948-725E48A6F3BF}"/>
                </c:ext>
              </c:extLst>
            </c:dLbl>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All Trade'!$A$49:$A$52</c:f>
              <c:strCache>
                <c:ptCount val="4"/>
                <c:pt idx="0">
                  <c:v>Services from non-EU</c:v>
                </c:pt>
                <c:pt idx="1">
                  <c:v>Services from EU</c:v>
                </c:pt>
                <c:pt idx="2">
                  <c:v>Goods from non-EU</c:v>
                </c:pt>
                <c:pt idx="3">
                  <c:v>Goods from EU</c:v>
                </c:pt>
              </c:strCache>
            </c:strRef>
          </c:cat>
          <c:val>
            <c:numRef>
              <c:f>'1. All Trade'!$B$49:$B$52</c:f>
              <c:numCache>
                <c:formatCode>0.0%</c:formatCode>
                <c:ptCount val="4"/>
                <c:pt idx="0">
                  <c:v>4.7306337249057862E-2</c:v>
                </c:pt>
                <c:pt idx="1">
                  <c:v>3.0100121196344087E-2</c:v>
                </c:pt>
                <c:pt idx="2">
                  <c:v>3.3511082765480982E-2</c:v>
                </c:pt>
                <c:pt idx="3">
                  <c:v>3.2232660366701138E-2</c:v>
                </c:pt>
              </c:numCache>
            </c:numRef>
          </c:val>
          <c:extLst>
            <c:ext xmlns:c16="http://schemas.microsoft.com/office/drawing/2014/chart" uri="{C3380CC4-5D6E-409C-BE32-E72D297353CC}">
              <c16:uniqueId val="{00000008-E74F-4B69-8948-725E48A6F3BF}"/>
            </c:ext>
          </c:extLst>
        </c:ser>
        <c:dLbls>
          <c:dLblPos val="inEnd"/>
          <c:showLegendKey val="0"/>
          <c:showVal val="1"/>
          <c:showCatName val="0"/>
          <c:showSerName val="0"/>
          <c:showPercent val="0"/>
          <c:showBubbleSize val="0"/>
        </c:dLbls>
        <c:gapWidth val="219"/>
        <c:overlap val="-27"/>
        <c:axId val="673336432"/>
        <c:axId val="673332496"/>
      </c:barChart>
      <c:catAx>
        <c:axId val="67333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endParaRPr lang="en-US"/>
          </a:p>
        </c:txPr>
        <c:crossAx val="673332496"/>
        <c:crosses val="autoZero"/>
        <c:auto val="1"/>
        <c:lblAlgn val="ctr"/>
        <c:lblOffset val="100"/>
        <c:noMultiLvlLbl val="0"/>
      </c:catAx>
      <c:valAx>
        <c:axId val="673332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85000"/>
                    <a:lumOff val="15000"/>
                  </a:schemeClr>
                </a:solidFill>
                <a:latin typeface="+mn-lt"/>
                <a:ea typeface="+mn-ea"/>
                <a:cs typeface="+mn-cs"/>
              </a:defRPr>
            </a:pPr>
            <a:endParaRPr lang="en-US"/>
          </a:p>
        </c:txPr>
        <c:crossAx val="673336432"/>
        <c:crosses val="autoZero"/>
        <c:crossBetween val="between"/>
        <c:majorUnit val="1.0000000000000002E-2"/>
      </c:valAx>
      <c:spPr>
        <a:noFill/>
        <a:ln>
          <a:noFill/>
        </a:ln>
        <a:effectLst/>
      </c:spPr>
    </c:plotArea>
    <c:plotVisOnly val="1"/>
    <c:dispBlanksAs val="gap"/>
    <c:showDLblsOverMax val="0"/>
  </c:chart>
  <c:spPr>
    <a:solidFill>
      <a:schemeClr val="bg1"/>
    </a:solidFill>
    <a:ln w="9525" cap="flat" cmpd="sng" algn="ctr">
      <a:solidFill>
        <a:srgbClr val="062B03"/>
      </a:solidFill>
      <a:round/>
    </a:ln>
    <a:effectLst/>
  </c:spPr>
  <c:txPr>
    <a:bodyPr/>
    <a:lstStyle/>
    <a:p>
      <a:pPr>
        <a:defRPr b="1">
          <a:solidFill>
            <a:schemeClr val="tx1">
              <a:lumMod val="85000"/>
              <a:lumOff val="15000"/>
            </a:schemeClr>
          </a:solidFill>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260" b="1" i="0" u="none" strike="noStrike" kern="1200" spc="0" baseline="0">
                <a:solidFill>
                  <a:sysClr val="windowText" lastClr="000000">
                    <a:lumMod val="65000"/>
                    <a:lumOff val="35000"/>
                  </a:sysClr>
                </a:solidFill>
                <a:latin typeface="+mn-lt"/>
                <a:ea typeface="+mn-ea"/>
                <a:cs typeface="+mn-cs"/>
              </a:defRPr>
            </a:pPr>
            <a:r>
              <a:rPr lang="en-US" sz="1260" b="1" i="0" u="none" strike="noStrike" kern="1200" spc="0" baseline="0">
                <a:solidFill>
                  <a:sysClr val="windowText" lastClr="000000">
                    <a:lumMod val="65000"/>
                    <a:lumOff val="35000"/>
                  </a:sysClr>
                </a:solidFill>
                <a:latin typeface="+mn-lt"/>
                <a:ea typeface="+mn-ea"/>
                <a:cs typeface="+mn-cs"/>
              </a:rPr>
              <a:t>Growth in UK manufacturing exports to EU &amp; non-EU countries </a:t>
            </a:r>
          </a:p>
          <a:p>
            <a:pPr algn="ctr" rtl="0">
              <a:defRPr lang="en-US" sz="1260" b="1">
                <a:solidFill>
                  <a:sysClr val="windowText" lastClr="000000">
                    <a:lumMod val="65000"/>
                    <a:lumOff val="35000"/>
                  </a:sysClr>
                </a:solidFill>
              </a:defRPr>
            </a:pPr>
            <a:r>
              <a:rPr lang="en-US" sz="1260" b="1" i="0" u="none" strike="noStrike" kern="1200" spc="0" baseline="0">
                <a:solidFill>
                  <a:sysClr val="windowText" lastClr="000000">
                    <a:lumMod val="65000"/>
                    <a:lumOff val="35000"/>
                  </a:sysClr>
                </a:solidFill>
                <a:latin typeface="+mn-lt"/>
                <a:ea typeface="+mn-ea"/>
                <a:cs typeface="+mn-cs"/>
              </a:rPr>
              <a:t>(real prices) : 1998 – 2016</a:t>
            </a:r>
          </a:p>
        </c:rich>
      </c:tx>
      <c:layout>
        <c:manualLayout>
          <c:xMode val="edge"/>
          <c:yMode val="edge"/>
          <c:x val="0.12769365750646208"/>
          <c:y val="3.6620054578039067E-2"/>
        </c:manualLayout>
      </c:layout>
      <c:overlay val="0"/>
      <c:spPr>
        <a:noFill/>
        <a:ln>
          <a:noFill/>
        </a:ln>
        <a:effectLst/>
      </c:spPr>
      <c:txPr>
        <a:bodyPr rot="0" spcFirstLastPara="1" vertOverflow="ellipsis" vert="horz" wrap="square" anchor="ctr" anchorCtr="1"/>
        <a:lstStyle/>
        <a:p>
          <a:pPr algn="ctr" rtl="0">
            <a:defRPr lang="en-US" sz="126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8.8263671730579779E-2"/>
          <c:y val="0.24508109530171132"/>
          <c:w val="0.88396789277130183"/>
          <c:h val="0.60285884604476503"/>
        </c:manualLayout>
      </c:layout>
      <c:barChart>
        <c:barDir val="col"/>
        <c:grouping val="clustered"/>
        <c:varyColors val="0"/>
        <c:ser>
          <c:idx val="0"/>
          <c:order val="0"/>
          <c:tx>
            <c:strRef>
              <c:f>'Old_2016 Data Manufacturing'!$H$71</c:f>
              <c:strCache>
                <c:ptCount val="1"/>
                <c:pt idx="0">
                  <c:v> EU</c:v>
                </c:pt>
              </c:strCache>
            </c:strRef>
          </c:tx>
          <c:spPr>
            <a:solidFill>
              <a:srgbClr val="C00000"/>
            </a:solidFill>
            <a:ln>
              <a:solidFill>
                <a:srgbClr val="C00000"/>
              </a:solidFill>
            </a:ln>
            <a:effectLst/>
          </c:spPr>
          <c:invertIfNegative val="0"/>
          <c:dLbls>
            <c:dLbl>
              <c:idx val="0"/>
              <c:layout>
                <c:manualLayout>
                  <c:x val="-2.13128765519592E-3"/>
                  <c:y val="0.13908925401407693"/>
                </c:manualLayout>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3C-4F17-B57F-7A30317C9552}"/>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'Old_2016 Data Manufacturing'!$G$72:$G$73</c:f>
              <c:strCache>
                <c:ptCount val="2"/>
                <c:pt idx="0">
                  <c:v>Exports</c:v>
                </c:pt>
                <c:pt idx="1">
                  <c:v>Imports</c:v>
                </c:pt>
              </c:strCache>
            </c:strRef>
          </c:cat>
          <c:val>
            <c:numRef>
              <c:f>'Old_2016 Data Manufacturing'!$H$72:$H$73</c:f>
              <c:numCache>
                <c:formatCode>0.0%</c:formatCode>
                <c:ptCount val="2"/>
                <c:pt idx="0">
                  <c:v>1.9000285302516698E-2</c:v>
                </c:pt>
                <c:pt idx="1">
                  <c:v>0.69494180896982505</c:v>
                </c:pt>
              </c:numCache>
            </c:numRef>
          </c:val>
          <c:extLst>
            <c:ext xmlns:c16="http://schemas.microsoft.com/office/drawing/2014/chart" uri="{C3380CC4-5D6E-409C-BE32-E72D297353CC}">
              <c16:uniqueId val="{00000000-CDBF-4CE8-BDA8-FEDE11269312}"/>
            </c:ext>
          </c:extLst>
        </c:ser>
        <c:ser>
          <c:idx val="1"/>
          <c:order val="1"/>
          <c:tx>
            <c:strRef>
              <c:f>'Old_2016 Data Manufacturing'!$I$71</c:f>
              <c:strCache>
                <c:ptCount val="1"/>
                <c:pt idx="0">
                  <c:v> Non-EU</c:v>
                </c:pt>
              </c:strCache>
            </c:strRef>
          </c:tx>
          <c:spPr>
            <a:solidFill>
              <a:srgbClr val="001C54"/>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Manufacturing'!$G$72:$G$73</c:f>
              <c:strCache>
                <c:ptCount val="2"/>
                <c:pt idx="0">
                  <c:v>Exports</c:v>
                </c:pt>
                <c:pt idx="1">
                  <c:v>Imports</c:v>
                </c:pt>
              </c:strCache>
            </c:strRef>
          </c:cat>
          <c:val>
            <c:numRef>
              <c:f>'Old_2016 Data Manufacturing'!$I$72:$I$73</c:f>
              <c:numCache>
                <c:formatCode>0.0%</c:formatCode>
                <c:ptCount val="2"/>
                <c:pt idx="0">
                  <c:v>0.71557028988634375</c:v>
                </c:pt>
                <c:pt idx="1">
                  <c:v>0.635615808354698</c:v>
                </c:pt>
              </c:numCache>
            </c:numRef>
          </c:val>
          <c:extLst>
            <c:ext xmlns:c16="http://schemas.microsoft.com/office/drawing/2014/chart" uri="{C3380CC4-5D6E-409C-BE32-E72D297353CC}">
              <c16:uniqueId val="{00000001-CDBF-4CE8-BDA8-FEDE11269312}"/>
            </c:ext>
          </c:extLst>
        </c:ser>
        <c:dLbls>
          <c:dLblPos val="inEnd"/>
          <c:showLegendKey val="0"/>
          <c:showVal val="1"/>
          <c:showCatName val="0"/>
          <c:showSerName val="0"/>
          <c:showPercent val="0"/>
          <c:showBubbleSize val="0"/>
        </c:dLbls>
        <c:gapWidth val="123"/>
        <c:overlap val="-33"/>
        <c:axId val="509372024"/>
        <c:axId val="509372352"/>
      </c:barChart>
      <c:catAx>
        <c:axId val="509372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crossAx val="509372352"/>
        <c:crosses val="autoZero"/>
        <c:auto val="1"/>
        <c:lblAlgn val="ctr"/>
        <c:lblOffset val="200"/>
        <c:noMultiLvlLbl val="0"/>
      </c:catAx>
      <c:valAx>
        <c:axId val="509372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37202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635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r>
              <a:rPr lang="en-AU"/>
              <a:t>Annual growth in UK trade in manufacturing </a:t>
            </a:r>
            <a:br>
              <a:rPr lang="en-AU"/>
            </a:br>
            <a:r>
              <a:rPr lang="en-AU"/>
              <a:t>(CAGR, real prices): 1998 – 2016</a:t>
            </a:r>
          </a:p>
        </c:rich>
      </c:tx>
      <c:layout>
        <c:manualLayout>
          <c:xMode val="edge"/>
          <c:yMode val="edge"/>
          <c:x val="0.16654315828896107"/>
          <c:y val="2.7860624602030287E-2"/>
        </c:manualLayout>
      </c:layout>
      <c:overlay val="0"/>
      <c:spPr>
        <a:noFill/>
        <a:ln>
          <a:noFill/>
        </a:ln>
        <a:effectLst/>
      </c:spPr>
      <c:txPr>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277273774721776"/>
          <c:y val="0.22877586345704853"/>
          <c:w val="0.80419985894956081"/>
          <c:h val="0.55463483762835664"/>
        </c:manualLayout>
      </c:layout>
      <c:barChart>
        <c:barDir val="bar"/>
        <c:grouping val="clustered"/>
        <c:varyColors val="0"/>
        <c:ser>
          <c:idx val="0"/>
          <c:order val="0"/>
          <c:tx>
            <c:strRef>
              <c:f>'Old_2016 Data Manufacturing'!$B$87</c:f>
              <c:strCache>
                <c:ptCount val="1"/>
                <c:pt idx="0">
                  <c:v>EU</c:v>
                </c:pt>
              </c:strCache>
            </c:strRef>
          </c:tx>
          <c:spPr>
            <a:solidFill>
              <a:srgbClr val="C00000"/>
            </a:solidFill>
            <a:ln>
              <a:solidFill>
                <a:srgbClr val="990000"/>
              </a:solidFill>
            </a:ln>
            <a:effectLst/>
          </c:spPr>
          <c:invertIfNegative val="0"/>
          <c:dLbls>
            <c:dLbl>
              <c:idx val="0"/>
              <c:layout>
                <c:manualLayout>
                  <c:x val="-2.4384372566933843E-3"/>
                  <c:y val="4.563759369397985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8D-4496-95F9-62624421FD3C}"/>
                </c:ext>
              </c:extLst>
            </c:dLbl>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'Old_2016 Data Manufacturing'!$A$88:$A$89</c:f>
              <c:strCache>
                <c:ptCount val="2"/>
                <c:pt idx="0">
                  <c:v>Exports </c:v>
                </c:pt>
                <c:pt idx="1">
                  <c:v>Imports</c:v>
                </c:pt>
              </c:strCache>
            </c:strRef>
          </c:cat>
          <c:val>
            <c:numRef>
              <c:f>'Old_2016 Data Manufacturing'!$B$88:$B$89</c:f>
              <c:numCache>
                <c:formatCode>0.0%</c:formatCode>
                <c:ptCount val="2"/>
                <c:pt idx="0">
                  <c:v>1.1770693419523859E-3</c:v>
                </c:pt>
                <c:pt idx="1">
                  <c:v>3.3527827815381883E-2</c:v>
                </c:pt>
              </c:numCache>
            </c:numRef>
          </c:val>
          <c:extLst>
            <c:ext xmlns:c16="http://schemas.microsoft.com/office/drawing/2014/chart" uri="{C3380CC4-5D6E-409C-BE32-E72D297353CC}">
              <c16:uniqueId val="{00000000-8875-4572-BE41-F73758290292}"/>
            </c:ext>
          </c:extLst>
        </c:ser>
        <c:ser>
          <c:idx val="1"/>
          <c:order val="1"/>
          <c:tx>
            <c:strRef>
              <c:f>'Old_2016 Data Manufacturing'!$C$87</c:f>
              <c:strCache>
                <c:ptCount val="1"/>
                <c:pt idx="0">
                  <c:v>Non-EU </c:v>
                </c:pt>
              </c:strCache>
            </c:strRef>
          </c:tx>
          <c:spPr>
            <a:solidFill>
              <a:srgbClr val="001C54"/>
            </a:solidFill>
            <a:ln>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Manufacturing'!$A$88:$A$89</c:f>
              <c:strCache>
                <c:ptCount val="2"/>
                <c:pt idx="0">
                  <c:v>Exports </c:v>
                </c:pt>
                <c:pt idx="1">
                  <c:v>Imports</c:v>
                </c:pt>
              </c:strCache>
            </c:strRef>
          </c:cat>
          <c:val>
            <c:numRef>
              <c:f>'Old_2016 Data Manufacturing'!$C$88:$C$89</c:f>
              <c:numCache>
                <c:formatCode>0.0%</c:formatCode>
                <c:ptCount val="2"/>
                <c:pt idx="0">
                  <c:v>3.4309544400365599E-2</c:v>
                </c:pt>
                <c:pt idx="1">
                  <c:v>3.1228913471156305E-2</c:v>
                </c:pt>
              </c:numCache>
            </c:numRef>
          </c:val>
          <c:extLst>
            <c:ext xmlns:c16="http://schemas.microsoft.com/office/drawing/2014/chart" uri="{C3380CC4-5D6E-409C-BE32-E72D297353CC}">
              <c16:uniqueId val="{00000001-8875-4572-BE41-F73758290292}"/>
            </c:ext>
          </c:extLst>
        </c:ser>
        <c:dLbls>
          <c:dLblPos val="outEnd"/>
          <c:showLegendKey val="0"/>
          <c:showVal val="1"/>
          <c:showCatName val="0"/>
          <c:showSerName val="0"/>
          <c:showPercent val="0"/>
          <c:showBubbleSize val="0"/>
        </c:dLbls>
        <c:gapWidth val="99"/>
        <c:overlap val="-34"/>
        <c:axId val="513763280"/>
        <c:axId val="513760656"/>
      </c:barChart>
      <c:catAx>
        <c:axId val="5137632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13760656"/>
        <c:crosses val="autoZero"/>
        <c:auto val="1"/>
        <c:lblAlgn val="ctr"/>
        <c:lblOffset val="900"/>
        <c:noMultiLvlLbl val="0"/>
      </c:catAx>
      <c:valAx>
        <c:axId val="5137606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13763280"/>
        <c:crosses val="autoZero"/>
        <c:crossBetween val="between"/>
      </c:valAx>
      <c:spPr>
        <a:noFill/>
        <a:ln w="6350">
          <a:solidFill>
            <a:schemeClr val="tx1">
              <a:lumMod val="15000"/>
              <a:lumOff val="85000"/>
            </a:schemeClr>
          </a:solidFill>
        </a:ln>
        <a:effectLst/>
      </c:spPr>
    </c:plotArea>
    <c:legend>
      <c:legendPos val="b"/>
      <c:layout>
        <c:manualLayout>
          <c:xMode val="edge"/>
          <c:yMode val="edge"/>
          <c:x val="0.39742030302158343"/>
          <c:y val="0.86345750598326865"/>
          <c:w val="0.20515922762778688"/>
          <c:h val="0.11911416516017595"/>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50" b="1"/>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 manufacturing exports to EU and non-EU countries: 1998–2016</a:t>
            </a:r>
          </a:p>
        </c:rich>
      </c:tx>
      <c:layout>
        <c:manualLayout>
          <c:xMode val="edge"/>
          <c:yMode val="edge"/>
          <c:x val="0.23423849099072511"/>
          <c:y val="4.2598327107397596E-2"/>
        </c:manualLayout>
      </c:layout>
      <c:overlay val="0"/>
      <c:spPr>
        <a:noFill/>
        <a:ln>
          <a:noFill/>
        </a:ln>
        <a:effectLst/>
      </c:spPr>
      <c:txPr>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6.317395312892686E-2"/>
          <c:y val="0.19445371861938252"/>
          <c:w val="0.92469012348671242"/>
          <c:h val="0.56771000791655468"/>
        </c:manualLayout>
      </c:layout>
      <c:barChart>
        <c:barDir val="col"/>
        <c:grouping val="clustered"/>
        <c:varyColors val="0"/>
        <c:ser>
          <c:idx val="0"/>
          <c:order val="0"/>
          <c:tx>
            <c:strRef>
              <c:f>'Old_2016 Data Manufacturing'!$A$124</c:f>
              <c:strCache>
                <c:ptCount val="1"/>
                <c:pt idx="0">
                  <c:v>Manufacturing exports to EU (£ billion)</c:v>
                </c:pt>
              </c:strCache>
            </c:strRef>
          </c:tx>
          <c:spPr>
            <a:solidFill>
              <a:srgbClr val="C00000"/>
            </a:solidFill>
            <a:ln>
              <a:solidFill>
                <a:srgbClr val="990000"/>
              </a:solidFill>
            </a:ln>
            <a:effectLst/>
          </c:spPr>
          <c:invertIfNegative val="0"/>
          <c:cat>
            <c:strRef>
              <c:f>'Old_2016 Data Manufacturing'!$B$123:$T$123</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Manufacturing'!$B$124:$T$124</c:f>
              <c:numCache>
                <c:formatCode>0.00</c:formatCode>
                <c:ptCount val="19"/>
                <c:pt idx="0">
                  <c:v>116.90102827763495</c:v>
                </c:pt>
                <c:pt idx="1">
                  <c:v>118.13717948717949</c:v>
                </c:pt>
                <c:pt idx="2">
                  <c:v>126.11979823455235</c:v>
                </c:pt>
                <c:pt idx="3">
                  <c:v>126.99374217772215</c:v>
                </c:pt>
                <c:pt idx="4">
                  <c:v>129.71428571428572</c:v>
                </c:pt>
                <c:pt idx="5">
                  <c:v>122.16584158415841</c:v>
                </c:pt>
                <c:pt idx="6">
                  <c:v>123.19378881987578</c:v>
                </c:pt>
                <c:pt idx="7">
                  <c:v>130.52242424242425</c:v>
                </c:pt>
                <c:pt idx="8">
                  <c:v>159.84844868735084</c:v>
                </c:pt>
                <c:pt idx="9">
                  <c:v>133.76442307692307</c:v>
                </c:pt>
                <c:pt idx="10">
                  <c:v>132.21052631578945</c:v>
                </c:pt>
                <c:pt idx="11">
                  <c:v>114.23442449841605</c:v>
                </c:pt>
                <c:pt idx="12">
                  <c:v>121.56670010030091</c:v>
                </c:pt>
                <c:pt idx="13">
                  <c:v>131.09609895337775</c:v>
                </c:pt>
                <c:pt idx="14">
                  <c:v>117.86799620132953</c:v>
                </c:pt>
                <c:pt idx="15">
                  <c:v>116.57894736842105</c:v>
                </c:pt>
                <c:pt idx="16">
                  <c:v>121.57341120607789</c:v>
                </c:pt>
                <c:pt idx="17">
                  <c:v>122.30792799999999</c:v>
                </c:pt>
                <c:pt idx="18">
                  <c:v>124.13877194656487</c:v>
                </c:pt>
              </c:numCache>
            </c:numRef>
          </c:val>
          <c:extLst>
            <c:ext xmlns:c16="http://schemas.microsoft.com/office/drawing/2014/chart" uri="{C3380CC4-5D6E-409C-BE32-E72D297353CC}">
              <c16:uniqueId val="{00000000-8F89-4E90-810E-533963A4D992}"/>
            </c:ext>
          </c:extLst>
        </c:ser>
        <c:ser>
          <c:idx val="1"/>
          <c:order val="1"/>
          <c:tx>
            <c:strRef>
              <c:f>'Old_2016 Data Manufacturing'!$A$125</c:f>
              <c:strCache>
                <c:ptCount val="1"/>
                <c:pt idx="0">
                  <c:v>Manufacturing exports to non-EU (£ billion)</c:v>
                </c:pt>
              </c:strCache>
            </c:strRef>
          </c:tx>
          <c:spPr>
            <a:solidFill>
              <a:srgbClr val="001C54"/>
            </a:solidFill>
            <a:ln>
              <a:noFill/>
            </a:ln>
            <a:effectLst/>
          </c:spPr>
          <c:invertIfNegative val="0"/>
          <c:cat>
            <c:strRef>
              <c:f>'Old_2016 Data Manufacturing'!$B$123:$T$123</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Manufacturing'!$B$125:$T$125</c:f>
              <c:numCache>
                <c:formatCode>0.00</c:formatCode>
                <c:ptCount val="19"/>
                <c:pt idx="0">
                  <c:v>75.580976863753207</c:v>
                </c:pt>
                <c:pt idx="1">
                  <c:v>73.629487179487171</c:v>
                </c:pt>
                <c:pt idx="2">
                  <c:v>81.087011349306451</c:v>
                </c:pt>
                <c:pt idx="3">
                  <c:v>80.501877346683344</c:v>
                </c:pt>
                <c:pt idx="4">
                  <c:v>76.328697850821754</c:v>
                </c:pt>
                <c:pt idx="5">
                  <c:v>81.076732673267344</c:v>
                </c:pt>
                <c:pt idx="6">
                  <c:v>84.27080745341614</c:v>
                </c:pt>
                <c:pt idx="7">
                  <c:v>93.002424242424254</c:v>
                </c:pt>
                <c:pt idx="8">
                  <c:v>95.510739856801905</c:v>
                </c:pt>
                <c:pt idx="9">
                  <c:v>97.984374999999986</c:v>
                </c:pt>
                <c:pt idx="10">
                  <c:v>106.75328947368421</c:v>
                </c:pt>
                <c:pt idx="11">
                  <c:v>97.230200633579713</c:v>
                </c:pt>
                <c:pt idx="12">
                  <c:v>111.13841524573722</c:v>
                </c:pt>
                <c:pt idx="13">
                  <c:v>121.45195052331114</c:v>
                </c:pt>
                <c:pt idx="14">
                  <c:v>127.23456790123458</c:v>
                </c:pt>
                <c:pt idx="15">
                  <c:v>125.05355493998152</c:v>
                </c:pt>
                <c:pt idx="16">
                  <c:v>124.51057739791072</c:v>
                </c:pt>
                <c:pt idx="17">
                  <c:v>136.01828799999998</c:v>
                </c:pt>
                <c:pt idx="18">
                  <c:v>134.56264122137404</c:v>
                </c:pt>
              </c:numCache>
            </c:numRef>
          </c:val>
          <c:extLst>
            <c:ext xmlns:c16="http://schemas.microsoft.com/office/drawing/2014/chart" uri="{C3380CC4-5D6E-409C-BE32-E72D297353CC}">
              <c16:uniqueId val="{00000001-8F89-4E90-810E-533963A4D992}"/>
            </c:ext>
          </c:extLst>
        </c:ser>
        <c:dLbls>
          <c:showLegendKey val="0"/>
          <c:showVal val="0"/>
          <c:showCatName val="0"/>
          <c:showSerName val="0"/>
          <c:showPercent val="0"/>
          <c:showBubbleSize val="0"/>
        </c:dLbls>
        <c:gapWidth val="219"/>
        <c:overlap val="-27"/>
        <c:axId val="579647848"/>
        <c:axId val="579655064"/>
      </c:barChart>
      <c:catAx>
        <c:axId val="579647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79655064"/>
        <c:crosses val="autoZero"/>
        <c:auto val="1"/>
        <c:lblAlgn val="ctr"/>
        <c:lblOffset val="100"/>
        <c:noMultiLvlLbl val="0"/>
      </c:catAx>
      <c:valAx>
        <c:axId val="579655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latin typeface="Calibri" panose="020F0502020204030204" pitchFamily="34" charset="0"/>
                    <a:cs typeface="Calibri" panose="020F0502020204030204" pitchFamily="34" charset="0"/>
                  </a:rPr>
                  <a:t>£ </a:t>
                </a:r>
                <a:r>
                  <a:rPr lang="en-AU"/>
                  <a:t>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809]#,##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579647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 – EU trade in manufacturing: 1998 – 2016</a:t>
            </a:r>
          </a:p>
        </c:rich>
      </c:tx>
      <c:overlay val="0"/>
      <c:spPr>
        <a:noFill/>
        <a:ln>
          <a:noFill/>
        </a:ln>
        <a:effectLst/>
      </c:spPr>
      <c:txPr>
        <a:bodyPr rot="0" spcFirstLastPara="1" vertOverflow="ellipsis" vert="horz" wrap="square" anchor="ctr" anchorCtr="1"/>
        <a:lstStyle/>
        <a:p>
          <a:pPr algn="ctr" rtl="0">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6.6970797119218217E-2"/>
          <c:y val="0.16710784313725494"/>
          <c:w val="0.90205124315677698"/>
          <c:h val="0.65213177396943034"/>
        </c:manualLayout>
      </c:layout>
      <c:barChart>
        <c:barDir val="col"/>
        <c:grouping val="clustered"/>
        <c:varyColors val="0"/>
        <c:ser>
          <c:idx val="0"/>
          <c:order val="0"/>
          <c:tx>
            <c:strRef>
              <c:f>'Old_2016 Data Manufacturing'!$A$146</c:f>
              <c:strCache>
                <c:ptCount val="1"/>
                <c:pt idx="0">
                  <c:v>EU Exports (£ billion)</c:v>
                </c:pt>
              </c:strCache>
            </c:strRef>
          </c:tx>
          <c:spPr>
            <a:solidFill>
              <a:srgbClr val="C00000"/>
            </a:solidFill>
            <a:ln>
              <a:solidFill>
                <a:srgbClr val="990000"/>
              </a:solidFill>
            </a:ln>
            <a:effectLst/>
          </c:spPr>
          <c:invertIfNegative val="0"/>
          <c:cat>
            <c:strRef>
              <c:f>'Old_2016 Data Manufacturing'!$B$145:$T$145</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Manufacturing'!$B$146:$T$146</c:f>
              <c:numCache>
                <c:formatCode>0.00</c:formatCode>
                <c:ptCount val="19"/>
                <c:pt idx="0">
                  <c:v>116.90102827763495</c:v>
                </c:pt>
                <c:pt idx="1">
                  <c:v>118.13717948717949</c:v>
                </c:pt>
                <c:pt idx="2">
                  <c:v>126.11979823455235</c:v>
                </c:pt>
                <c:pt idx="3">
                  <c:v>126.99374217772215</c:v>
                </c:pt>
                <c:pt idx="4">
                  <c:v>129.71428571428572</c:v>
                </c:pt>
                <c:pt idx="5">
                  <c:v>122.16584158415841</c:v>
                </c:pt>
                <c:pt idx="6">
                  <c:v>123.19378881987578</c:v>
                </c:pt>
                <c:pt idx="7">
                  <c:v>130.52242424242425</c:v>
                </c:pt>
                <c:pt idx="8">
                  <c:v>159.84844868735084</c:v>
                </c:pt>
                <c:pt idx="9">
                  <c:v>133.76442307692307</c:v>
                </c:pt>
                <c:pt idx="10">
                  <c:v>132.21052631578945</c:v>
                </c:pt>
                <c:pt idx="11">
                  <c:v>114.23442449841605</c:v>
                </c:pt>
                <c:pt idx="12">
                  <c:v>121.56670010030091</c:v>
                </c:pt>
                <c:pt idx="13">
                  <c:v>131.09609895337775</c:v>
                </c:pt>
                <c:pt idx="14">
                  <c:v>117.86799620132953</c:v>
                </c:pt>
                <c:pt idx="15">
                  <c:v>116.57894736842105</c:v>
                </c:pt>
                <c:pt idx="16">
                  <c:v>121.57341120607789</c:v>
                </c:pt>
                <c:pt idx="17">
                  <c:v>122.30792799999999</c:v>
                </c:pt>
                <c:pt idx="18">
                  <c:v>124.13877194656487</c:v>
                </c:pt>
              </c:numCache>
            </c:numRef>
          </c:val>
          <c:extLst>
            <c:ext xmlns:c16="http://schemas.microsoft.com/office/drawing/2014/chart" uri="{C3380CC4-5D6E-409C-BE32-E72D297353CC}">
              <c16:uniqueId val="{00000000-61AE-4785-8BC1-3032EE5E5E96}"/>
            </c:ext>
          </c:extLst>
        </c:ser>
        <c:ser>
          <c:idx val="1"/>
          <c:order val="1"/>
          <c:tx>
            <c:strRef>
              <c:f>'Old_2016 Data Manufacturing'!$A$147</c:f>
              <c:strCache>
                <c:ptCount val="1"/>
                <c:pt idx="0">
                  <c:v>EU Imports (£ billion)</c:v>
                </c:pt>
              </c:strCache>
            </c:strRef>
          </c:tx>
          <c:spPr>
            <a:solidFill>
              <a:srgbClr val="001C54"/>
            </a:solidFill>
            <a:ln>
              <a:noFill/>
            </a:ln>
            <a:effectLst/>
          </c:spPr>
          <c:invertIfNegative val="0"/>
          <c:cat>
            <c:strRef>
              <c:f>'Old_2016 Data Manufacturing'!$B$145:$T$145</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Manufacturing'!$B$147:$T$147</c:f>
              <c:numCache>
                <c:formatCode>0.00</c:formatCode>
                <c:ptCount val="19"/>
                <c:pt idx="0">
                  <c:v>120.51927710843374</c:v>
                </c:pt>
                <c:pt idx="1">
                  <c:v>126.44915254237289</c:v>
                </c:pt>
                <c:pt idx="2">
                  <c:v>132.47225501770956</c:v>
                </c:pt>
                <c:pt idx="3">
                  <c:v>143.77751479289941</c:v>
                </c:pt>
                <c:pt idx="4">
                  <c:v>160.24150485436891</c:v>
                </c:pt>
                <c:pt idx="5">
                  <c:v>161.4855421686747</c:v>
                </c:pt>
                <c:pt idx="6">
                  <c:v>170.12820512820514</c:v>
                </c:pt>
                <c:pt idx="7">
                  <c:v>181.89268867924528</c:v>
                </c:pt>
                <c:pt idx="8">
                  <c:v>204.12933025404158</c:v>
                </c:pt>
                <c:pt idx="9">
                  <c:v>188.5479768786127</c:v>
                </c:pt>
                <c:pt idx="10">
                  <c:v>177.53838280450361</c:v>
                </c:pt>
                <c:pt idx="11">
                  <c:v>156.75298804780877</c:v>
                </c:pt>
                <c:pt idx="12">
                  <c:v>171.74903846153845</c:v>
                </c:pt>
                <c:pt idx="13">
                  <c:v>173.15585585585583</c:v>
                </c:pt>
                <c:pt idx="14">
                  <c:v>178.38056312443234</c:v>
                </c:pt>
                <c:pt idx="15">
                  <c:v>185.20612061206123</c:v>
                </c:pt>
                <c:pt idx="16">
                  <c:v>205.56421825023517</c:v>
                </c:pt>
                <c:pt idx="17">
                  <c:v>214.68205099999997</c:v>
                </c:pt>
                <c:pt idx="18">
                  <c:v>222.88361121856863</c:v>
                </c:pt>
              </c:numCache>
            </c:numRef>
          </c:val>
          <c:extLst>
            <c:ext xmlns:c16="http://schemas.microsoft.com/office/drawing/2014/chart" uri="{C3380CC4-5D6E-409C-BE32-E72D297353CC}">
              <c16:uniqueId val="{00000001-61AE-4785-8BC1-3032EE5E5E96}"/>
            </c:ext>
          </c:extLst>
        </c:ser>
        <c:ser>
          <c:idx val="2"/>
          <c:order val="2"/>
          <c:tx>
            <c:strRef>
              <c:f>'Old_2016 Data Manufacturing'!$A$148</c:f>
              <c:strCache>
                <c:ptCount val="1"/>
                <c:pt idx="0">
                  <c:v>Balance</c:v>
                </c:pt>
              </c:strCache>
            </c:strRef>
          </c:tx>
          <c:spPr>
            <a:solidFill>
              <a:schemeClr val="accent3"/>
            </a:solidFill>
            <a:ln>
              <a:solidFill>
                <a:schemeClr val="tx1">
                  <a:lumMod val="65000"/>
                  <a:lumOff val="35000"/>
                </a:schemeClr>
              </a:solidFill>
            </a:ln>
            <a:effectLst/>
          </c:spPr>
          <c:invertIfNegative val="0"/>
          <c:cat>
            <c:strRef>
              <c:f>'Old_2016 Data Manufacturing'!$B$145:$T$145</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Manufacturing'!$B$148:$T$148</c:f>
              <c:numCache>
                <c:formatCode>0.00</c:formatCode>
                <c:ptCount val="19"/>
                <c:pt idx="0">
                  <c:v>-3.618248830798791</c:v>
                </c:pt>
                <c:pt idx="1">
                  <c:v>-8.3119730551933912</c:v>
                </c:pt>
                <c:pt idx="2">
                  <c:v>-6.3524567831572085</c:v>
                </c:pt>
                <c:pt idx="3">
                  <c:v>-16.783772615177256</c:v>
                </c:pt>
                <c:pt idx="4">
                  <c:v>-30.52721914008319</c:v>
                </c:pt>
                <c:pt idx="5">
                  <c:v>-39.319700584516283</c:v>
                </c:pt>
                <c:pt idx="6">
                  <c:v>-46.934416308329361</c:v>
                </c:pt>
                <c:pt idx="7">
                  <c:v>-51.370264436821031</c:v>
                </c:pt>
                <c:pt idx="8">
                  <c:v>-44.280881566690738</c:v>
                </c:pt>
                <c:pt idx="9">
                  <c:v>-54.783553801689635</c:v>
                </c:pt>
                <c:pt idx="10">
                  <c:v>-45.327856488714161</c:v>
                </c:pt>
                <c:pt idx="11">
                  <c:v>-42.518563549392724</c:v>
                </c:pt>
                <c:pt idx="12">
                  <c:v>-50.182338361237541</c:v>
                </c:pt>
                <c:pt idx="13">
                  <c:v>-42.059756902478085</c:v>
                </c:pt>
                <c:pt idx="14">
                  <c:v>-60.51256692310281</c:v>
                </c:pt>
                <c:pt idx="15">
                  <c:v>-68.627173243640172</c:v>
                </c:pt>
                <c:pt idx="16">
                  <c:v>-83.990807044157279</c:v>
                </c:pt>
                <c:pt idx="17">
                  <c:v>-92.374122999999983</c:v>
                </c:pt>
                <c:pt idx="18">
                  <c:v>-98.744839272003759</c:v>
                </c:pt>
              </c:numCache>
            </c:numRef>
          </c:val>
          <c:extLst>
            <c:ext xmlns:c16="http://schemas.microsoft.com/office/drawing/2014/chart" uri="{C3380CC4-5D6E-409C-BE32-E72D297353CC}">
              <c16:uniqueId val="{00000002-61AE-4785-8BC1-3032EE5E5E96}"/>
            </c:ext>
          </c:extLst>
        </c:ser>
        <c:dLbls>
          <c:showLegendKey val="0"/>
          <c:showVal val="0"/>
          <c:showCatName val="0"/>
          <c:showSerName val="0"/>
          <c:showPercent val="0"/>
          <c:showBubbleSize val="0"/>
        </c:dLbls>
        <c:gapWidth val="219"/>
        <c:overlap val="-29"/>
        <c:axId val="581832112"/>
        <c:axId val="581827848"/>
      </c:barChart>
      <c:catAx>
        <c:axId val="58183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b" anchorCtr="0"/>
          <a:lstStyle/>
          <a:p>
            <a:pPr>
              <a:defRPr sz="1050" b="1" i="0" u="none" strike="noStrike" kern="1200" baseline="0">
                <a:solidFill>
                  <a:schemeClr val="tx1">
                    <a:lumMod val="75000"/>
                    <a:lumOff val="25000"/>
                  </a:schemeClr>
                </a:solidFill>
                <a:latin typeface="+mn-lt"/>
                <a:ea typeface="+mn-ea"/>
                <a:cs typeface="+mn-cs"/>
              </a:defRPr>
            </a:pPr>
            <a:endParaRPr lang="en-US"/>
          </a:p>
        </c:txPr>
        <c:crossAx val="581827848"/>
        <c:crosses val="autoZero"/>
        <c:auto val="0"/>
        <c:lblAlgn val="ctr"/>
        <c:lblOffset val="1000"/>
        <c:noMultiLvlLbl val="0"/>
      </c:catAx>
      <c:valAx>
        <c:axId val="581827848"/>
        <c:scaling>
          <c:orientation val="minMax"/>
          <c:max val="25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581832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 – non-EU trade in manufacturing: 1998 – 2016</a:t>
            </a:r>
          </a:p>
        </c:rich>
      </c:tx>
      <c:overlay val="0"/>
      <c:spPr>
        <a:noFill/>
        <a:ln>
          <a:noFill/>
        </a:ln>
        <a:effectLst/>
      </c:spPr>
      <c:txPr>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'Old_2016 Data Manufacturing'!$A$151</c:f>
              <c:strCache>
                <c:ptCount val="1"/>
                <c:pt idx="0">
                  <c:v>Non-EU Exports (£ billion)</c:v>
                </c:pt>
              </c:strCache>
            </c:strRef>
          </c:tx>
          <c:spPr>
            <a:solidFill>
              <a:srgbClr val="C00000"/>
            </a:solidFill>
            <a:ln>
              <a:solidFill>
                <a:srgbClr val="990000"/>
              </a:solidFill>
            </a:ln>
            <a:effectLst/>
          </c:spPr>
          <c:invertIfNegative val="0"/>
          <c:cat>
            <c:strRef>
              <c:f>'Old_2016 Data Manufacturing'!$B$150:$T$150</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Manufacturing'!$B$151:$T$151</c:f>
              <c:numCache>
                <c:formatCode>0.00</c:formatCode>
                <c:ptCount val="19"/>
                <c:pt idx="0">
                  <c:v>75.580976863753207</c:v>
                </c:pt>
                <c:pt idx="1">
                  <c:v>73.629487179487171</c:v>
                </c:pt>
                <c:pt idx="2">
                  <c:v>81.087011349306451</c:v>
                </c:pt>
                <c:pt idx="3">
                  <c:v>80.501877346683344</c:v>
                </c:pt>
                <c:pt idx="4">
                  <c:v>76.328697850821754</c:v>
                </c:pt>
                <c:pt idx="5">
                  <c:v>81.076732673267344</c:v>
                </c:pt>
                <c:pt idx="6">
                  <c:v>84.27080745341614</c:v>
                </c:pt>
                <c:pt idx="7">
                  <c:v>93.002424242424254</c:v>
                </c:pt>
                <c:pt idx="8">
                  <c:v>95.510739856801905</c:v>
                </c:pt>
                <c:pt idx="9">
                  <c:v>97.984374999999986</c:v>
                </c:pt>
                <c:pt idx="10">
                  <c:v>106.75328947368421</c:v>
                </c:pt>
                <c:pt idx="11">
                  <c:v>97.230200633579713</c:v>
                </c:pt>
                <c:pt idx="12">
                  <c:v>111.13841524573722</c:v>
                </c:pt>
                <c:pt idx="13">
                  <c:v>121.45195052331114</c:v>
                </c:pt>
                <c:pt idx="14">
                  <c:v>127.23456790123458</c:v>
                </c:pt>
                <c:pt idx="15">
                  <c:v>125.05355493998152</c:v>
                </c:pt>
                <c:pt idx="16">
                  <c:v>124.51057739791072</c:v>
                </c:pt>
                <c:pt idx="17">
                  <c:v>136.01828799999998</c:v>
                </c:pt>
                <c:pt idx="18">
                  <c:v>134.56264122137404</c:v>
                </c:pt>
              </c:numCache>
            </c:numRef>
          </c:val>
          <c:extLst>
            <c:ext xmlns:c16="http://schemas.microsoft.com/office/drawing/2014/chart" uri="{C3380CC4-5D6E-409C-BE32-E72D297353CC}">
              <c16:uniqueId val="{00000000-3867-4D92-8E5C-3B9F77984DB6}"/>
            </c:ext>
          </c:extLst>
        </c:ser>
        <c:ser>
          <c:idx val="1"/>
          <c:order val="1"/>
          <c:tx>
            <c:strRef>
              <c:f>'Old_2016 Data Manufacturing'!$A$152</c:f>
              <c:strCache>
                <c:ptCount val="1"/>
                <c:pt idx="0">
                  <c:v>Non-EU Imports (£ billion)</c:v>
                </c:pt>
              </c:strCache>
            </c:strRef>
          </c:tx>
          <c:spPr>
            <a:solidFill>
              <a:srgbClr val="001C54"/>
            </a:solidFill>
            <a:ln>
              <a:noFill/>
            </a:ln>
            <a:effectLst/>
          </c:spPr>
          <c:invertIfNegative val="0"/>
          <c:cat>
            <c:strRef>
              <c:f>'Old_2016 Data Manufacturing'!$B$150:$T$150</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Manufacturing'!$B$152:$T$152</c:f>
              <c:numCache>
                <c:formatCode>0.00</c:formatCode>
                <c:ptCount val="19"/>
                <c:pt idx="0">
                  <c:v>84.191566265060246</c:v>
                </c:pt>
                <c:pt idx="1">
                  <c:v>89.791767554479435</c:v>
                </c:pt>
                <c:pt idx="2">
                  <c:v>103.26918536009445</c:v>
                </c:pt>
                <c:pt idx="3">
                  <c:v>102.96568047337279</c:v>
                </c:pt>
                <c:pt idx="4">
                  <c:v>99.889563106796103</c:v>
                </c:pt>
                <c:pt idx="5">
                  <c:v>100.23253012048193</c:v>
                </c:pt>
                <c:pt idx="6">
                  <c:v>106.93162393162392</c:v>
                </c:pt>
                <c:pt idx="7">
                  <c:v>111.73349056603774</c:v>
                </c:pt>
                <c:pt idx="8">
                  <c:v>124.63163972286374</c:v>
                </c:pt>
                <c:pt idx="9">
                  <c:v>128.42312138728323</c:v>
                </c:pt>
                <c:pt idx="10">
                  <c:v>125.55987717502559</c:v>
                </c:pt>
                <c:pt idx="11">
                  <c:v>117.12450199203188</c:v>
                </c:pt>
                <c:pt idx="12">
                  <c:v>132.62019230769232</c:v>
                </c:pt>
                <c:pt idx="13">
                  <c:v>128.25765765765766</c:v>
                </c:pt>
                <c:pt idx="14">
                  <c:v>132.76748410535876</c:v>
                </c:pt>
                <c:pt idx="15">
                  <c:v>136.8748874887489</c:v>
                </c:pt>
                <c:pt idx="16">
                  <c:v>140.56134524929445</c:v>
                </c:pt>
                <c:pt idx="17">
                  <c:v>151.21620000000001</c:v>
                </c:pt>
                <c:pt idx="18">
                  <c:v>161.70105802707928</c:v>
                </c:pt>
              </c:numCache>
            </c:numRef>
          </c:val>
          <c:extLst>
            <c:ext xmlns:c16="http://schemas.microsoft.com/office/drawing/2014/chart" uri="{C3380CC4-5D6E-409C-BE32-E72D297353CC}">
              <c16:uniqueId val="{00000001-3867-4D92-8E5C-3B9F77984DB6}"/>
            </c:ext>
          </c:extLst>
        </c:ser>
        <c:ser>
          <c:idx val="2"/>
          <c:order val="2"/>
          <c:tx>
            <c:strRef>
              <c:f>'Old_2016 Data Manufacturing'!$A$153</c:f>
              <c:strCache>
                <c:ptCount val="1"/>
                <c:pt idx="0">
                  <c:v>Balance</c:v>
                </c:pt>
              </c:strCache>
            </c:strRef>
          </c:tx>
          <c:spPr>
            <a:solidFill>
              <a:schemeClr val="accent3"/>
            </a:solidFill>
            <a:ln>
              <a:solidFill>
                <a:schemeClr val="tx1">
                  <a:lumMod val="65000"/>
                  <a:lumOff val="35000"/>
                </a:schemeClr>
              </a:solidFill>
            </a:ln>
            <a:effectLst/>
          </c:spPr>
          <c:invertIfNegative val="0"/>
          <c:cat>
            <c:strRef>
              <c:f>'Old_2016 Data Manufacturing'!$B$150:$T$150</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Manufacturing'!$B$153:$T$153</c:f>
              <c:numCache>
                <c:formatCode>0.00</c:formatCode>
                <c:ptCount val="19"/>
                <c:pt idx="0">
                  <c:v>-8.6105894013070383</c:v>
                </c:pt>
                <c:pt idx="1">
                  <c:v>-16.162280374992264</c:v>
                </c:pt>
                <c:pt idx="2">
                  <c:v>-22.182174010788003</c:v>
                </c:pt>
                <c:pt idx="3">
                  <c:v>-22.463803126689442</c:v>
                </c:pt>
                <c:pt idx="4">
                  <c:v>-23.560865255974349</c:v>
                </c:pt>
                <c:pt idx="5">
                  <c:v>-19.155797447214582</c:v>
                </c:pt>
                <c:pt idx="6">
                  <c:v>-22.660816478207778</c:v>
                </c:pt>
                <c:pt idx="7">
                  <c:v>-18.73106632361349</c:v>
                </c:pt>
                <c:pt idx="8">
                  <c:v>-29.120899866061833</c:v>
                </c:pt>
                <c:pt idx="9">
                  <c:v>-30.438746387283246</c:v>
                </c:pt>
                <c:pt idx="10">
                  <c:v>-18.806587701341385</c:v>
                </c:pt>
                <c:pt idx="11">
                  <c:v>-19.894301358452168</c:v>
                </c:pt>
                <c:pt idx="12">
                  <c:v>-21.4817770619551</c:v>
                </c:pt>
                <c:pt idx="13">
                  <c:v>-6.8057071343465196</c:v>
                </c:pt>
                <c:pt idx="14">
                  <c:v>-5.5329162041241773</c:v>
                </c:pt>
                <c:pt idx="15">
                  <c:v>-11.821332548767373</c:v>
                </c:pt>
                <c:pt idx="16">
                  <c:v>-16.050767851383725</c:v>
                </c:pt>
                <c:pt idx="17">
                  <c:v>-15.197912000000031</c:v>
                </c:pt>
                <c:pt idx="18">
                  <c:v>-27.138416805705248</c:v>
                </c:pt>
              </c:numCache>
            </c:numRef>
          </c:val>
          <c:extLst>
            <c:ext xmlns:c16="http://schemas.microsoft.com/office/drawing/2014/chart" uri="{C3380CC4-5D6E-409C-BE32-E72D297353CC}">
              <c16:uniqueId val="{00000002-3867-4D92-8E5C-3B9F77984DB6}"/>
            </c:ext>
          </c:extLst>
        </c:ser>
        <c:dLbls>
          <c:showLegendKey val="0"/>
          <c:showVal val="0"/>
          <c:showCatName val="0"/>
          <c:showSerName val="0"/>
          <c:showPercent val="0"/>
          <c:showBubbleSize val="0"/>
        </c:dLbls>
        <c:gapWidth val="219"/>
        <c:overlap val="-27"/>
        <c:axId val="580591456"/>
        <c:axId val="580591784"/>
      </c:barChart>
      <c:catAx>
        <c:axId val="58059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80591784"/>
        <c:crosses val="autoZero"/>
        <c:auto val="1"/>
        <c:lblAlgn val="ctr"/>
        <c:lblOffset val="500"/>
        <c:noMultiLvlLbl val="0"/>
      </c:catAx>
      <c:valAx>
        <c:axId val="580591784"/>
        <c:scaling>
          <c:orientation val="minMax"/>
          <c:max val="180"/>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580591456"/>
        <c:crosses val="autoZero"/>
        <c:crossBetween val="between"/>
        <c:majorUnit val="50"/>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r>
              <a:rPr lang="en-AU" sz="1260" b="1" i="0" u="none" strike="noStrike" kern="1200" spc="0" baseline="0">
                <a:solidFill>
                  <a:sysClr val="windowText" lastClr="000000">
                    <a:lumMod val="65000"/>
                    <a:lumOff val="35000"/>
                  </a:sysClr>
                </a:solidFill>
                <a:latin typeface="+mn-lt"/>
                <a:ea typeface="+mn-ea"/>
                <a:cs typeface="+mn-cs"/>
              </a:rPr>
              <a:t>Growth in manufacturing exports to EU / non-EU countries (real prices) : 1998 </a:t>
            </a:r>
            <a:r>
              <a:rPr lang="en-AU" sz="1260" b="1" i="0" u="none" strike="noStrike" kern="1200" spc="0" baseline="0">
                <a:solidFill>
                  <a:sysClr val="windowText" lastClr="000000">
                    <a:lumMod val="65000"/>
                    <a:lumOff val="35000"/>
                  </a:sysClr>
                </a:solidFill>
                <a:latin typeface="Calibri" panose="020F0502020204030204" pitchFamily="34" charset="0"/>
                <a:ea typeface="+mn-ea"/>
                <a:cs typeface="Calibri" panose="020F0502020204030204" pitchFamily="34" charset="0"/>
              </a:rPr>
              <a:t>– 2016</a:t>
            </a:r>
            <a:endParaRPr lang="en-AU" sz="1260" b="1" i="0" u="none" strike="noStrike" kern="1200" spc="0" baseline="0">
              <a:solidFill>
                <a:sysClr val="windowText" lastClr="000000">
                  <a:lumMod val="65000"/>
                  <a:lumOff val="35000"/>
                </a:sysClr>
              </a:solidFill>
              <a:latin typeface="+mn-lt"/>
              <a:ea typeface="+mn-ea"/>
              <a:cs typeface="+mn-cs"/>
            </a:endParaRPr>
          </a:p>
        </c:rich>
      </c:tx>
      <c:overlay val="0"/>
      <c:spPr>
        <a:noFill/>
        <a:ln>
          <a:noFill/>
        </a:ln>
        <a:effectLst/>
      </c:spPr>
      <c:txPr>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0.13701422349976264"/>
          <c:y val="0.18469198489040617"/>
          <c:w val="0.8352266935474737"/>
          <c:h val="0.62908319519845202"/>
        </c:manualLayout>
      </c:layout>
      <c:barChart>
        <c:barDir val="col"/>
        <c:grouping val="clustered"/>
        <c:varyColors val="0"/>
        <c:ser>
          <c:idx val="0"/>
          <c:order val="0"/>
          <c:tx>
            <c:strRef>
              <c:f>'Old_2016 Data Manufacturing'!$A$72</c:f>
              <c:strCache>
                <c:ptCount val="1"/>
                <c:pt idx="0">
                  <c:v>EU</c:v>
                </c:pt>
              </c:strCache>
            </c:strRef>
          </c:tx>
          <c:spPr>
            <a:solidFill>
              <a:srgbClr val="C00000"/>
            </a:solidFill>
            <a:ln>
              <a:solidFill>
                <a:srgbClr val="990000"/>
              </a:solidFill>
            </a:ln>
            <a:effectLst/>
          </c:spPr>
          <c:invertIfNegative val="0"/>
          <c:dLbls>
            <c:numFmt formatCode="[$£-809]#,##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Manufacturing'!$B$71:$C$71</c:f>
              <c:strCache>
                <c:ptCount val="2"/>
                <c:pt idx="0">
                  <c:v>Average Exports 1998-2000 (£bn)</c:v>
                </c:pt>
                <c:pt idx="1">
                  <c:v>Average Exports 2014-2016 (£bn)</c:v>
                </c:pt>
              </c:strCache>
            </c:strRef>
          </c:cat>
          <c:val>
            <c:numRef>
              <c:f>'Old_2016 Data Manufacturing'!$B$72:$C$72</c:f>
              <c:numCache>
                <c:formatCode>0.0</c:formatCode>
                <c:ptCount val="2"/>
                <c:pt idx="0">
                  <c:v>120.38600199978892</c:v>
                </c:pt>
                <c:pt idx="1">
                  <c:v>122.67337038421425</c:v>
                </c:pt>
              </c:numCache>
            </c:numRef>
          </c:val>
          <c:extLst>
            <c:ext xmlns:c16="http://schemas.microsoft.com/office/drawing/2014/chart" uri="{C3380CC4-5D6E-409C-BE32-E72D297353CC}">
              <c16:uniqueId val="{00000004-CF26-409A-B063-EE3D26D2F02D}"/>
            </c:ext>
          </c:extLst>
        </c:ser>
        <c:ser>
          <c:idx val="1"/>
          <c:order val="1"/>
          <c:tx>
            <c:strRef>
              <c:f>'Old_2016 Data Manufacturing'!$A$73</c:f>
              <c:strCache>
                <c:ptCount val="1"/>
                <c:pt idx="0">
                  <c:v>Non-EU</c:v>
                </c:pt>
              </c:strCache>
            </c:strRef>
          </c:tx>
          <c:spPr>
            <a:solidFill>
              <a:srgbClr val="001C54"/>
            </a:solidFill>
            <a:ln>
              <a:solidFill>
                <a:sysClr val="windowText" lastClr="000000"/>
              </a:solidFill>
            </a:ln>
            <a:effectLst/>
          </c:spPr>
          <c:invertIfNegative val="0"/>
          <c:dLbls>
            <c:numFmt formatCode="_-[$£-809]* #,##0.0_-;\-[$£-809]* #,##0.0_-;_-[$£-809]*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Manufacturing'!$B$71:$C$71</c:f>
              <c:strCache>
                <c:ptCount val="2"/>
                <c:pt idx="0">
                  <c:v>Average Exports 1998-2000 (£bn)</c:v>
                </c:pt>
                <c:pt idx="1">
                  <c:v>Average Exports 2014-2016 (£bn)</c:v>
                </c:pt>
              </c:strCache>
            </c:strRef>
          </c:cat>
          <c:val>
            <c:numRef>
              <c:f>'Old_2016 Data Manufacturing'!$B$73:$C$73</c:f>
              <c:numCache>
                <c:formatCode>0.0</c:formatCode>
                <c:ptCount val="2"/>
                <c:pt idx="0">
                  <c:v>76.765825130848953</c:v>
                </c:pt>
                <c:pt idx="1">
                  <c:v>131.69716887309491</c:v>
                </c:pt>
              </c:numCache>
            </c:numRef>
          </c:val>
          <c:extLst>
            <c:ext xmlns:c16="http://schemas.microsoft.com/office/drawing/2014/chart" uri="{C3380CC4-5D6E-409C-BE32-E72D297353CC}">
              <c16:uniqueId val="{00000005-CF26-409A-B063-EE3D26D2F02D}"/>
            </c:ext>
          </c:extLst>
        </c:ser>
        <c:dLbls>
          <c:dLblPos val="inEnd"/>
          <c:showLegendKey val="0"/>
          <c:showVal val="1"/>
          <c:showCatName val="0"/>
          <c:showSerName val="0"/>
          <c:showPercent val="0"/>
          <c:showBubbleSize val="0"/>
        </c:dLbls>
        <c:gapWidth val="138"/>
        <c:overlap val="-27"/>
        <c:axId val="576780144"/>
        <c:axId val="576773256"/>
      </c:barChart>
      <c:catAx>
        <c:axId val="57678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76773256"/>
        <c:crosses val="autoZero"/>
        <c:auto val="1"/>
        <c:lblAlgn val="ctr"/>
        <c:lblOffset val="100"/>
        <c:noMultiLvlLbl val="0"/>
      </c:catAx>
      <c:valAx>
        <c:axId val="576773256"/>
        <c:scaling>
          <c:orientation val="minMax"/>
          <c:max val="1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809]#,##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780144"/>
        <c:crosses val="autoZero"/>
        <c:crossBetween val="between"/>
      </c:valAx>
      <c:spPr>
        <a:noFill/>
        <a:ln>
          <a:noFill/>
        </a:ln>
        <a:effectLst/>
      </c:spPr>
    </c:plotArea>
    <c:legend>
      <c:legendPos val="b"/>
      <c:layout>
        <c:manualLayout>
          <c:xMode val="edge"/>
          <c:yMode val="edge"/>
          <c:x val="0.1202456392303575"/>
          <c:y val="0.89870232897718205"/>
          <c:w val="0.84549606880765782"/>
          <c:h val="9.1506545791242414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cap="none" spc="50" baseline="0">
                <a:solidFill>
                  <a:sysClr val="windowText" lastClr="000000">
                    <a:lumMod val="65000"/>
                    <a:lumOff val="35000"/>
                  </a:sysClr>
                </a:solidFill>
                <a:latin typeface="+mn-lt"/>
                <a:ea typeface="+mn-ea"/>
                <a:cs typeface="+mn-cs"/>
              </a:defRPr>
            </a:pPr>
            <a:r>
              <a:rPr lang="en-AU" cap="none" baseline="0"/>
              <a:t>UK manufacturing exports: 2016</a:t>
            </a:r>
          </a:p>
          <a:p>
            <a:pPr marL="0" marR="0" lvl="0" indent="0" algn="ctr" defTabSz="914400" rtl="0" eaLnBrk="1" fontAlgn="auto" latinLnBrk="0" hangingPunct="1">
              <a:lnSpc>
                <a:spcPct val="100000"/>
              </a:lnSpc>
              <a:spcBef>
                <a:spcPts val="0"/>
              </a:spcBef>
              <a:spcAft>
                <a:spcPts val="0"/>
              </a:spcAft>
              <a:buClrTx/>
              <a:buSzTx/>
              <a:buFontTx/>
              <a:buNone/>
              <a:tabLst/>
              <a:defRPr cap="none">
                <a:solidFill>
                  <a:sysClr val="windowText" lastClr="000000">
                    <a:lumMod val="65000"/>
                    <a:lumOff val="35000"/>
                  </a:sysClr>
                </a:solidFill>
              </a:defRPr>
            </a:pPr>
            <a:r>
              <a:rPr lang="en-AU" sz="1200" b="1" i="0" baseline="0">
                <a:effectLst/>
              </a:rPr>
              <a:t>Total: £270.5 bn</a:t>
            </a:r>
            <a:endParaRPr lang="en-AU" sz="105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cap="none" spc="5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8.6165927920092936E-2"/>
          <c:y val="0.1478242639269752"/>
          <c:w val="0.41375779256736367"/>
          <c:h val="0.75069483979219453"/>
        </c:manualLayout>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AFE8-4636-8DED-128A530F269E}"/>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AFE8-4636-8DED-128A530F269E}"/>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AFE8-4636-8DED-128A530F269E}"/>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AFE8-4636-8DED-128A530F269E}"/>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AFE8-4636-8DED-128A530F269E}"/>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AFE8-4636-8DED-128A530F269E}"/>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AFE8-4636-8DED-128A530F269E}"/>
              </c:ext>
            </c:extLst>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F-AFE8-4636-8DED-128A530F269E}"/>
              </c:ext>
            </c:extLst>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1-AFE8-4636-8DED-128A530F269E}"/>
              </c:ext>
            </c:extLst>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3-AFE8-4636-8DED-128A530F269E}"/>
              </c:ext>
            </c:extLst>
          </c:dPt>
          <c:dPt>
            <c:idx val="10"/>
            <c:bubble3D val="0"/>
            <c:spPr>
              <a:solidFill>
                <a:schemeClr val="accent5">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5-76F7-4BFD-8F57-1491F44C3CA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'Old_2016 Data Manufacturing'!$A$48:$A$58</c:f>
              <c:strCache>
                <c:ptCount val="11"/>
                <c:pt idx="0">
                  <c:v>1. Motor vehicles </c:v>
                </c:pt>
                <c:pt idx="1">
                  <c:v>2. Transport</c:v>
                </c:pt>
                <c:pt idx="2">
                  <c:v>3. Machinery</c:v>
                </c:pt>
                <c:pt idx="3">
                  <c:v>4. Pharmaceuticals</c:v>
                </c:pt>
                <c:pt idx="4">
                  <c:v>5. Chemicals </c:v>
                </c:pt>
                <c:pt idx="5">
                  <c:v>6. Computers, electronics, etc.</c:v>
                </c:pt>
                <c:pt idx="6">
                  <c:v>7. Basic metals</c:v>
                </c:pt>
                <c:pt idx="7">
                  <c:v>8. Food products</c:v>
                </c:pt>
                <c:pt idx="8">
                  <c:v>9. Electrical</c:v>
                </c:pt>
                <c:pt idx="9">
                  <c:v>10. Beverages</c:v>
                </c:pt>
                <c:pt idx="10">
                  <c:v>Other manufactured</c:v>
                </c:pt>
              </c:strCache>
            </c:strRef>
          </c:cat>
          <c:val>
            <c:numRef>
              <c:f>'Old_2016 Data Manufacturing'!$B$48:$B$58</c:f>
              <c:numCache>
                <c:formatCode>_-[$£-809]* #,##0.0_-;\-[$£-809]* #,##0.0_-;_-[$£-809]* "-"??_-;_-@_-</c:formatCode>
                <c:ptCount val="11"/>
                <c:pt idx="0">
                  <c:v>40.073</c:v>
                </c:pt>
                <c:pt idx="1">
                  <c:v>32.154000000000003</c:v>
                </c:pt>
                <c:pt idx="2">
                  <c:v>26.885000000000002</c:v>
                </c:pt>
                <c:pt idx="3">
                  <c:v>25.827999999999999</c:v>
                </c:pt>
                <c:pt idx="4">
                  <c:v>24.861000000000001</c:v>
                </c:pt>
                <c:pt idx="5">
                  <c:v>24.710999999999999</c:v>
                </c:pt>
                <c:pt idx="6">
                  <c:v>15.477</c:v>
                </c:pt>
                <c:pt idx="7">
                  <c:v>11.366</c:v>
                </c:pt>
                <c:pt idx="8">
                  <c:v>10.32</c:v>
                </c:pt>
                <c:pt idx="9">
                  <c:v>7.085</c:v>
                </c:pt>
                <c:pt idx="10">
                  <c:v>51.764999999999958</c:v>
                </c:pt>
              </c:numCache>
            </c:numRef>
          </c:val>
          <c:extLst>
            <c:ext xmlns:c16="http://schemas.microsoft.com/office/drawing/2014/chart" uri="{C3380CC4-5D6E-409C-BE32-E72D297353CC}">
              <c16:uniqueId val="{00000016-AFE8-4636-8DED-128A530F269E}"/>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53350774684525148"/>
          <c:y val="0.21966621233124897"/>
          <c:w val="0.44728238152437827"/>
          <c:h val="0.69549263925792049"/>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r>
              <a:rPr lang="en-AU" sz="1260" b="1" i="0" u="none" strike="noStrike" kern="1200" spc="0" baseline="0">
                <a:solidFill>
                  <a:sysClr val="windowText" lastClr="000000">
                    <a:lumMod val="65000"/>
                    <a:lumOff val="35000"/>
                  </a:sysClr>
                </a:solidFill>
                <a:latin typeface="+mn-lt"/>
                <a:ea typeface="+mn-ea"/>
                <a:cs typeface="+mn-cs"/>
              </a:rPr>
              <a:t>Change in EU's share of UK trade in manufactured goods: 1998 – 2016</a:t>
            </a:r>
          </a:p>
        </c:rich>
      </c:tx>
      <c:overlay val="0"/>
      <c:spPr>
        <a:noFill/>
        <a:ln>
          <a:noFill/>
        </a:ln>
        <a:effectLst/>
      </c:spPr>
      <c:txPr>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6.4675227207653743E-2"/>
          <c:y val="8.2697127415065769E-2"/>
          <c:w val="0.90572426490428604"/>
          <c:h val="0.7245952337995466"/>
        </c:manualLayout>
      </c:layout>
      <c:barChart>
        <c:barDir val="col"/>
        <c:grouping val="clustered"/>
        <c:varyColors val="0"/>
        <c:ser>
          <c:idx val="0"/>
          <c:order val="0"/>
          <c:tx>
            <c:strRef>
              <c:f>'Old_2016 Data Manufacturing'!$B$94</c:f>
              <c:strCache>
                <c:ptCount val="1"/>
                <c:pt idx="0">
                  <c:v>1998</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Manufacturing'!$A$95:$A$96</c:f>
              <c:strCache>
                <c:ptCount val="2"/>
                <c:pt idx="0">
                  <c:v>Destination for exports</c:v>
                </c:pt>
                <c:pt idx="1">
                  <c:v>Source of imports</c:v>
                </c:pt>
              </c:strCache>
            </c:strRef>
          </c:cat>
          <c:val>
            <c:numRef>
              <c:f>'Old_2016 Data Manufacturing'!$B$95:$B$96</c:f>
              <c:numCache>
                <c:formatCode>0%</c:formatCode>
                <c:ptCount val="2"/>
                <c:pt idx="0">
                  <c:v>0.6106258498939402</c:v>
                </c:pt>
                <c:pt idx="1">
                  <c:v>0.577805103578102</c:v>
                </c:pt>
              </c:numCache>
            </c:numRef>
          </c:val>
          <c:extLst>
            <c:ext xmlns:c16="http://schemas.microsoft.com/office/drawing/2014/chart" uri="{C3380CC4-5D6E-409C-BE32-E72D297353CC}">
              <c16:uniqueId val="{00000002-FA09-44BA-B7A4-9D2F990FC8F2}"/>
            </c:ext>
          </c:extLst>
        </c:ser>
        <c:ser>
          <c:idx val="1"/>
          <c:order val="1"/>
          <c:tx>
            <c:strRef>
              <c:f>'Old_2016 Data Manufacturing'!$C$94</c:f>
              <c:strCache>
                <c:ptCount val="1"/>
                <c:pt idx="0">
                  <c:v>2016</c:v>
                </c:pt>
              </c:strCache>
            </c:strRef>
          </c:tx>
          <c:spPr>
            <a:solidFill>
              <a:srgbClr val="001C5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Manufacturing'!$A$95:$A$96</c:f>
              <c:strCache>
                <c:ptCount val="2"/>
                <c:pt idx="0">
                  <c:v>Destination for exports</c:v>
                </c:pt>
                <c:pt idx="1">
                  <c:v>Source of imports</c:v>
                </c:pt>
              </c:strCache>
            </c:strRef>
          </c:cat>
          <c:val>
            <c:numRef>
              <c:f>'Old_2016 Data Manufacturing'!$C$95:$C$96</c:f>
              <c:numCache>
                <c:formatCode>0%</c:formatCode>
                <c:ptCount val="2"/>
                <c:pt idx="0">
                  <c:v>0.48226249290655354</c:v>
                </c:pt>
                <c:pt idx="1">
                  <c:v>0.58647173535659969</c:v>
                </c:pt>
              </c:numCache>
            </c:numRef>
          </c:val>
          <c:extLst>
            <c:ext xmlns:c16="http://schemas.microsoft.com/office/drawing/2014/chart" uri="{C3380CC4-5D6E-409C-BE32-E72D297353CC}">
              <c16:uniqueId val="{00000003-FA09-44BA-B7A4-9D2F990FC8F2}"/>
            </c:ext>
          </c:extLst>
        </c:ser>
        <c:dLbls>
          <c:dLblPos val="inEnd"/>
          <c:showLegendKey val="0"/>
          <c:showVal val="1"/>
          <c:showCatName val="0"/>
          <c:showSerName val="0"/>
          <c:showPercent val="0"/>
          <c:showBubbleSize val="0"/>
        </c:dLbls>
        <c:gapWidth val="219"/>
        <c:overlap val="-27"/>
        <c:axId val="607267056"/>
        <c:axId val="607265416"/>
      </c:barChart>
      <c:catAx>
        <c:axId val="607267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crossAx val="607265416"/>
        <c:crosses val="autoZero"/>
        <c:auto val="1"/>
        <c:lblAlgn val="ctr"/>
        <c:lblOffset val="100"/>
        <c:noMultiLvlLbl val="0"/>
      </c:catAx>
      <c:valAx>
        <c:axId val="607265416"/>
        <c:scaling>
          <c:orientation val="minMax"/>
          <c:max val="0.65000000000000013"/>
          <c:min val="0.4"/>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267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a:t>UK Export o</a:t>
            </a:r>
            <a:r>
              <a:rPr lang="en-AU" b="1" baseline="0"/>
              <a:t>f manufactured goods</a:t>
            </a:r>
            <a:r>
              <a:rPr lang="en-AU" b="1"/>
              <a:t> to EU &amp;</a:t>
            </a:r>
            <a:r>
              <a:rPr lang="en-AU" b="1" baseline="0"/>
              <a:t> non-EU countries</a:t>
            </a:r>
            <a:r>
              <a:rPr lang="en-AU" b="1"/>
              <a:t>:</a:t>
            </a:r>
            <a:r>
              <a:rPr lang="en-AU" b="1" baseline="0"/>
              <a:t> 2016</a:t>
            </a:r>
            <a:endParaRPr lang="en-AU" b="1"/>
          </a:p>
        </c:rich>
      </c:tx>
      <c:layout>
        <c:manualLayout>
          <c:xMode val="edge"/>
          <c:yMode val="edge"/>
          <c:x val="0.17413353952784566"/>
          <c:y val="4.947546329436092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40443036384538E-2"/>
          <c:y val="0.15316605696950772"/>
          <c:w val="0.85947964673707122"/>
          <c:h val="0.47946665804351463"/>
        </c:manualLayout>
      </c:layout>
      <c:barChart>
        <c:barDir val="bar"/>
        <c:grouping val="stacked"/>
        <c:varyColors val="0"/>
        <c:ser>
          <c:idx val="0"/>
          <c:order val="0"/>
          <c:tx>
            <c:strRef>
              <c:f>'Old_2016 Data Manufacturing'!$A$16</c:f>
              <c:strCache>
                <c:ptCount val="1"/>
                <c:pt idx="0">
                  <c:v>1. Motor vehicles </c:v>
                </c:pt>
              </c:strCache>
            </c:strRef>
          </c:tx>
          <c:spPr>
            <a:solidFill>
              <a:schemeClr val="accent5">
                <a:lumMod val="75000"/>
              </a:schemeClr>
            </a:solidFill>
            <a:ln w="12700">
              <a:solidFill>
                <a:schemeClr val="accent5">
                  <a:lumMod val="50000"/>
                </a:schemeClr>
              </a:solid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6885-4F9D-B6E7-7192DD70978F}"/>
                </c:ext>
              </c:extLst>
            </c:dLbl>
            <c:dLbl>
              <c:idx val="1"/>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1-6885-4F9D-B6E7-7192DD70978F}"/>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Manufacturing'!$B$16:$C$16</c:f>
              <c:numCache>
                <c:formatCode>_-[$£-809]* #,##0.0_-;\-[$£-809]* #,##0.0_-;_-[$£-809]* "-"??_-;_-@_-</c:formatCode>
                <c:ptCount val="2"/>
                <c:pt idx="0">
                  <c:v>18.260000000000002</c:v>
                </c:pt>
                <c:pt idx="1">
                  <c:v>21.82</c:v>
                </c:pt>
              </c:numCache>
            </c:numRef>
          </c:val>
          <c:extLst>
            <c:ext xmlns:c16="http://schemas.microsoft.com/office/drawing/2014/chart" uri="{C3380CC4-5D6E-409C-BE32-E72D297353CC}">
              <c16:uniqueId val="{00000000-7906-4A7C-AAB8-6A2B9EAB9C75}"/>
            </c:ext>
          </c:extLst>
        </c:ser>
        <c:ser>
          <c:idx val="1"/>
          <c:order val="1"/>
          <c:tx>
            <c:strRef>
              <c:f>'Old_2016 Data Manufacturing'!$A$17</c:f>
              <c:strCache>
                <c:ptCount val="1"/>
                <c:pt idx="0">
                  <c:v>2. Transport</c:v>
                </c:pt>
              </c:strCache>
            </c:strRef>
          </c:tx>
          <c:spPr>
            <a:solidFill>
              <a:srgbClr val="FF832F"/>
            </a:solidFill>
            <a:ln w="12700">
              <a:solidFill>
                <a:srgbClr val="0C5A06"/>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AU"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Manufacturing'!$B$17:$C$17</c:f>
              <c:numCache>
                <c:formatCode>_-[$£-809]* #,##0.0_-;\-[$£-809]* #,##0.0_-;_-[$£-809]* "-"??_-;_-@_-</c:formatCode>
                <c:ptCount val="2"/>
                <c:pt idx="0">
                  <c:v>9.81</c:v>
                </c:pt>
                <c:pt idx="1">
                  <c:v>22.35</c:v>
                </c:pt>
              </c:numCache>
            </c:numRef>
          </c:val>
          <c:extLst>
            <c:ext xmlns:c16="http://schemas.microsoft.com/office/drawing/2014/chart" uri="{C3380CC4-5D6E-409C-BE32-E72D297353CC}">
              <c16:uniqueId val="{00000001-7906-4A7C-AAB8-6A2B9EAB9C75}"/>
            </c:ext>
          </c:extLst>
        </c:ser>
        <c:ser>
          <c:idx val="2"/>
          <c:order val="2"/>
          <c:tx>
            <c:strRef>
              <c:f>'Old_2016 Data Manufacturing'!$A$18</c:f>
              <c:strCache>
                <c:ptCount val="1"/>
                <c:pt idx="0">
                  <c:v>3. Machinery</c:v>
                </c:pt>
              </c:strCache>
            </c:strRef>
          </c:tx>
          <c:spPr>
            <a:solidFill>
              <a:schemeClr val="bg1">
                <a:lumMod val="50000"/>
              </a:schemeClr>
            </a:solidFill>
            <a:ln w="12700">
              <a:solidFill>
                <a:srgbClr val="001C54"/>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AU"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Manufacturing'!$B$18:$C$18</c:f>
              <c:numCache>
                <c:formatCode>_-[$£-809]* #,##0.0_-;\-[$£-809]* #,##0.0_-;_-[$£-809]* "-"??_-;_-@_-</c:formatCode>
                <c:ptCount val="2"/>
                <c:pt idx="0">
                  <c:v>11.45</c:v>
                </c:pt>
                <c:pt idx="1">
                  <c:v>14.43</c:v>
                </c:pt>
              </c:numCache>
            </c:numRef>
          </c:val>
          <c:extLst>
            <c:ext xmlns:c16="http://schemas.microsoft.com/office/drawing/2014/chart" uri="{C3380CC4-5D6E-409C-BE32-E72D297353CC}">
              <c16:uniqueId val="{00000002-7906-4A7C-AAB8-6A2B9EAB9C75}"/>
            </c:ext>
          </c:extLst>
        </c:ser>
        <c:ser>
          <c:idx val="3"/>
          <c:order val="3"/>
          <c:tx>
            <c:strRef>
              <c:f>'Old_2016 Data Manufacturing'!$A$19</c:f>
              <c:strCache>
                <c:ptCount val="1"/>
                <c:pt idx="0">
                  <c:v>4. Pharmaceuticals</c:v>
                </c:pt>
              </c:strCache>
            </c:strRef>
          </c:tx>
          <c:spPr>
            <a:solidFill>
              <a:schemeClr val="accent4"/>
            </a:solidFill>
            <a:ln w="12700">
              <a:solidFill>
                <a:srgbClr val="6633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Manufacturing'!$B$19:$C$19</c:f>
              <c:numCache>
                <c:formatCode>_-[$£-809]* #,##0.00_-;\-[$£-809]* #,##0.00_-;_-[$£-809]* "-"??_-;_-@_-</c:formatCode>
                <c:ptCount val="2"/>
                <c:pt idx="0" formatCode="_-[$£-809]* #,##0.0_-;\-[$£-809]* #,##0.0_-;_-[$£-809]* &quot;-&quot;??_-;_-@_-">
                  <c:v>12.08</c:v>
                </c:pt>
                <c:pt idx="1">
                  <c:v>13.75</c:v>
                </c:pt>
              </c:numCache>
            </c:numRef>
          </c:val>
          <c:extLst>
            <c:ext xmlns:c16="http://schemas.microsoft.com/office/drawing/2014/chart" uri="{C3380CC4-5D6E-409C-BE32-E72D297353CC}">
              <c16:uniqueId val="{00000004-7906-4A7C-AAB8-6A2B9EAB9C75}"/>
            </c:ext>
          </c:extLst>
        </c:ser>
        <c:ser>
          <c:idx val="4"/>
          <c:order val="4"/>
          <c:tx>
            <c:strRef>
              <c:f>'Old_2016 Data Manufacturing'!$A$20</c:f>
              <c:strCache>
                <c:ptCount val="1"/>
                <c:pt idx="0">
                  <c:v>5. Chemicals</c:v>
                </c:pt>
              </c:strCache>
            </c:strRef>
          </c:tx>
          <c:spPr>
            <a:solidFill>
              <a:schemeClr val="accent5"/>
            </a:solidFill>
            <a:ln w="12700">
              <a:solidFill>
                <a:schemeClr val="tx1">
                  <a:lumMod val="95000"/>
                  <a:lumOff val="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Manufacturing'!$B$20:$C$20</c:f>
              <c:numCache>
                <c:formatCode>_-[$£-809]* #,##0.0_-;\-[$£-809]* #,##0.0_-;_-[$£-809]* "-"??_-;_-@_-</c:formatCode>
                <c:ptCount val="2"/>
                <c:pt idx="0">
                  <c:v>14.71</c:v>
                </c:pt>
                <c:pt idx="1">
                  <c:v>10.15</c:v>
                </c:pt>
              </c:numCache>
            </c:numRef>
          </c:val>
          <c:extLst>
            <c:ext xmlns:c16="http://schemas.microsoft.com/office/drawing/2014/chart" uri="{C3380CC4-5D6E-409C-BE32-E72D297353CC}">
              <c16:uniqueId val="{00000007-7906-4A7C-AAB8-6A2B9EAB9C75}"/>
            </c:ext>
          </c:extLst>
        </c:ser>
        <c:ser>
          <c:idx val="5"/>
          <c:order val="5"/>
          <c:tx>
            <c:strRef>
              <c:f>'Old_2016 Data Manufacturing'!$A$21</c:f>
              <c:strCache>
                <c:ptCount val="1"/>
                <c:pt idx="0">
                  <c:v>6. Computers, electronics etc.</c:v>
                </c:pt>
              </c:strCache>
            </c:strRef>
          </c:tx>
          <c:spPr>
            <a:solidFill>
              <a:schemeClr val="accent6"/>
            </a:solidFill>
            <a:ln w="12700">
              <a:solidFill>
                <a:schemeClr val="accent6">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Manufacturing'!$B$21:$C$21</c:f>
              <c:numCache>
                <c:formatCode>_-[$£-809]* #,##0.0_-;\-[$£-809]* #,##0.0_-;_-[$£-809]* "-"??_-;_-@_-</c:formatCode>
                <c:ptCount val="2"/>
                <c:pt idx="0">
                  <c:v>11.59</c:v>
                </c:pt>
                <c:pt idx="1">
                  <c:v>13.13</c:v>
                </c:pt>
              </c:numCache>
            </c:numRef>
          </c:val>
          <c:extLst>
            <c:ext xmlns:c16="http://schemas.microsoft.com/office/drawing/2014/chart" uri="{C3380CC4-5D6E-409C-BE32-E72D297353CC}">
              <c16:uniqueId val="{00000009-7906-4A7C-AAB8-6A2B9EAB9C75}"/>
            </c:ext>
          </c:extLst>
        </c:ser>
        <c:ser>
          <c:idx val="6"/>
          <c:order val="6"/>
          <c:tx>
            <c:strRef>
              <c:f>'Old_2016 Data Manufacturing'!$A$22</c:f>
              <c:strCache>
                <c:ptCount val="1"/>
                <c:pt idx="0">
                  <c:v>7. Basic metals</c:v>
                </c:pt>
              </c:strCache>
            </c:strRef>
          </c:tx>
          <c:spPr>
            <a:solidFill>
              <a:schemeClr val="accent1">
                <a:lumMod val="60000"/>
              </a:schemeClr>
            </a:solidFill>
            <a:ln w="12700">
              <a:solidFill>
                <a:srgbClr val="001C5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Manufacturing'!$B$22:$C$22</c:f>
              <c:numCache>
                <c:formatCode>_-[$£-809]* #,##0.0_-;\-[$£-809]* #,##0.0_-;_-[$£-809]* "-"??_-;_-@_-</c:formatCode>
                <c:ptCount val="2"/>
                <c:pt idx="0">
                  <c:v>5.21</c:v>
                </c:pt>
                <c:pt idx="1">
                  <c:v>10.27</c:v>
                </c:pt>
              </c:numCache>
            </c:numRef>
          </c:val>
          <c:extLst>
            <c:ext xmlns:c16="http://schemas.microsoft.com/office/drawing/2014/chart" uri="{C3380CC4-5D6E-409C-BE32-E72D297353CC}">
              <c16:uniqueId val="{0000000B-7906-4A7C-AAB8-6A2B9EAB9C75}"/>
            </c:ext>
          </c:extLst>
        </c:ser>
        <c:ser>
          <c:idx val="7"/>
          <c:order val="7"/>
          <c:tx>
            <c:strRef>
              <c:f>'Old_2016 Data Manufacturing'!$A$23</c:f>
              <c:strCache>
                <c:ptCount val="1"/>
                <c:pt idx="0">
                  <c:v>8. Food products</c:v>
                </c:pt>
              </c:strCache>
            </c:strRef>
          </c:tx>
          <c:spPr>
            <a:solidFill>
              <a:schemeClr val="accent2">
                <a:lumMod val="60000"/>
              </a:schemeClr>
            </a:solidFill>
            <a:ln w="12700">
              <a:solidFill>
                <a:srgbClr val="062B03"/>
              </a:solidFill>
            </a:ln>
            <a:effectLst/>
          </c:spPr>
          <c:invertIfNegative val="0"/>
          <c:dLbls>
            <c:dLbl>
              <c:idx val="1"/>
              <c:layout>
                <c:manualLayout>
                  <c:x val="0"/>
                  <c:y val="-2.02020202020201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885-4F9D-B6E7-7192DD70978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Manufacturing'!$B$23:$C$23</c:f>
              <c:numCache>
                <c:formatCode>_-[$£-809]* #,##0.0_-;\-[$£-809]* #,##0.0_-;_-[$£-809]* "-"??_-;_-@_-</c:formatCode>
                <c:ptCount val="2"/>
                <c:pt idx="0">
                  <c:v>7.91</c:v>
                </c:pt>
                <c:pt idx="1">
                  <c:v>3.46</c:v>
                </c:pt>
              </c:numCache>
            </c:numRef>
          </c:val>
          <c:extLst>
            <c:ext xmlns:c16="http://schemas.microsoft.com/office/drawing/2014/chart" uri="{C3380CC4-5D6E-409C-BE32-E72D297353CC}">
              <c16:uniqueId val="{0000000C-7906-4A7C-AAB8-6A2B9EAB9C75}"/>
            </c:ext>
          </c:extLst>
        </c:ser>
        <c:ser>
          <c:idx val="8"/>
          <c:order val="8"/>
          <c:tx>
            <c:strRef>
              <c:f>'Old_2016 Data Manufacturing'!$A$24</c:f>
              <c:strCache>
                <c:ptCount val="1"/>
                <c:pt idx="0">
                  <c:v>9. Electrical</c:v>
                </c:pt>
              </c:strCache>
            </c:strRef>
          </c:tx>
          <c:spPr>
            <a:solidFill>
              <a:schemeClr val="accent3">
                <a:lumMod val="60000"/>
              </a:schemeClr>
            </a:solidFill>
            <a:ln w="12700">
              <a:solidFill>
                <a:schemeClr val="tx1">
                  <a:lumMod val="75000"/>
                  <a:lumOff val="25000"/>
                </a:schemeClr>
              </a:solidFill>
            </a:ln>
            <a:effectLst/>
          </c:spPr>
          <c:invertIfNegative val="0"/>
          <c:dLbls>
            <c:dLbl>
              <c:idx val="0"/>
              <c:layout>
                <c:manualLayout>
                  <c:x val="0"/>
                  <c:y val="3.030303030303030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885-4F9D-B6E7-7192DD70978F}"/>
                </c:ext>
              </c:extLst>
            </c:dLbl>
            <c:dLbl>
              <c:idx val="1"/>
              <c:layout>
                <c:manualLayout>
                  <c:x val="0"/>
                  <c:y val="3.03030303030303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885-4F9D-B6E7-7192DD70978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Manufacturing'!$B$24:$C$24</c:f>
              <c:numCache>
                <c:formatCode>_-[$£-809]* #,##0.0_-;\-[$£-809]* #,##0.0_-;_-[$£-809]* "-"??_-;_-@_-</c:formatCode>
                <c:ptCount val="2"/>
                <c:pt idx="0">
                  <c:v>4.8099999999999996</c:v>
                </c:pt>
                <c:pt idx="1">
                  <c:v>5.52</c:v>
                </c:pt>
              </c:numCache>
            </c:numRef>
          </c:val>
          <c:extLst>
            <c:ext xmlns:c16="http://schemas.microsoft.com/office/drawing/2014/chart" uri="{C3380CC4-5D6E-409C-BE32-E72D297353CC}">
              <c16:uniqueId val="{0000000D-7906-4A7C-AAB8-6A2B9EAB9C75}"/>
            </c:ext>
          </c:extLst>
        </c:ser>
        <c:ser>
          <c:idx val="9"/>
          <c:order val="9"/>
          <c:tx>
            <c:strRef>
              <c:f>'Old_2016 Data Manufacturing'!$A$25</c:f>
              <c:strCache>
                <c:ptCount val="1"/>
                <c:pt idx="0">
                  <c:v>10. Beverages</c:v>
                </c:pt>
              </c:strCache>
            </c:strRef>
          </c:tx>
          <c:spPr>
            <a:solidFill>
              <a:schemeClr val="accent4">
                <a:lumMod val="60000"/>
              </a:schemeClr>
            </a:solidFill>
            <a:ln w="12700">
              <a:solidFill>
                <a:srgbClr val="663300"/>
              </a:solidFill>
            </a:ln>
            <a:effectLst/>
          </c:spPr>
          <c:invertIfNegative val="0"/>
          <c:dLbls>
            <c:dLbl>
              <c:idx val="0"/>
              <c:layout>
                <c:manualLayout>
                  <c:x val="0"/>
                  <c:y val="-3.030263262546727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885-4F9D-B6E7-7192DD70978F}"/>
                </c:ext>
              </c:extLst>
            </c:dLbl>
            <c:dLbl>
              <c:idx val="1"/>
              <c:layout>
                <c:manualLayout>
                  <c:x val="0"/>
                  <c:y val="-2.02020202020201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885-4F9D-B6E7-7192DD70978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Manufacturing'!$B$25:$C$25</c:f>
              <c:numCache>
                <c:formatCode>_-[$£-809]* #,##0.0_-;\-[$£-809]* #,##0.0_-;_-[$£-809]* "-"??_-;_-@_-</c:formatCode>
                <c:ptCount val="2"/>
                <c:pt idx="0">
                  <c:v>2.61</c:v>
                </c:pt>
                <c:pt idx="1">
                  <c:v>4.4800000000000004</c:v>
                </c:pt>
              </c:numCache>
            </c:numRef>
          </c:val>
          <c:extLst>
            <c:ext xmlns:c16="http://schemas.microsoft.com/office/drawing/2014/chart" uri="{C3380CC4-5D6E-409C-BE32-E72D297353CC}">
              <c16:uniqueId val="{0000000E-7906-4A7C-AAB8-6A2B9EAB9C75}"/>
            </c:ext>
          </c:extLst>
        </c:ser>
        <c:ser>
          <c:idx val="10"/>
          <c:order val="10"/>
          <c:tx>
            <c:strRef>
              <c:f>'Old_2016 Data Manufacturing'!$A$26</c:f>
              <c:strCache>
                <c:ptCount val="1"/>
                <c:pt idx="0">
                  <c:v>Other manufactured</c:v>
                </c:pt>
              </c:strCache>
            </c:strRef>
          </c:tx>
          <c:spPr>
            <a:solidFill>
              <a:schemeClr val="accent5">
                <a:lumMod val="60000"/>
              </a:schemeClr>
            </a:solidFill>
            <a:ln w="12700">
              <a:solidFill>
                <a:srgbClr val="002060"/>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AU"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Manufacturing'!$B$26:$C$26</c:f>
              <c:numCache>
                <c:formatCode>_-[$£-809]* #,##0.0_-;\-[$£-809]* #,##0.0_-;_-[$£-809]* "-"??_-;_-@_-</c:formatCode>
                <c:ptCount val="2"/>
                <c:pt idx="0">
                  <c:v>30.5</c:v>
                </c:pt>
                <c:pt idx="1">
                  <c:v>22.230000000000018</c:v>
                </c:pt>
              </c:numCache>
            </c:numRef>
          </c:val>
          <c:extLst>
            <c:ext xmlns:c16="http://schemas.microsoft.com/office/drawing/2014/chart" uri="{C3380CC4-5D6E-409C-BE32-E72D297353CC}">
              <c16:uniqueId val="{0000000F-7906-4A7C-AAB8-6A2B9EAB9C75}"/>
            </c:ext>
          </c:extLst>
        </c:ser>
        <c:dLbls>
          <c:dLblPos val="ctr"/>
          <c:showLegendKey val="0"/>
          <c:showVal val="1"/>
          <c:showCatName val="0"/>
          <c:showSerName val="0"/>
          <c:showPercent val="0"/>
          <c:showBubbleSize val="0"/>
        </c:dLbls>
        <c:gapWidth val="56"/>
        <c:overlap val="100"/>
        <c:axId val="592131296"/>
        <c:axId val="592132608"/>
      </c:barChart>
      <c:catAx>
        <c:axId val="592131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592132608"/>
        <c:crosses val="autoZero"/>
        <c:auto val="1"/>
        <c:lblAlgn val="ctr"/>
        <c:lblOffset val="100"/>
        <c:noMultiLvlLbl val="0"/>
      </c:catAx>
      <c:valAx>
        <c:axId val="592132608"/>
        <c:scaling>
          <c:orientation val="minMax"/>
          <c:max val="16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 billion</a:t>
                </a:r>
              </a:p>
            </c:rich>
          </c:tx>
          <c:layout>
            <c:manualLayout>
              <c:xMode val="edge"/>
              <c:yMode val="edge"/>
              <c:x val="0.48300540960763422"/>
              <c:y val="0.71901223483750087"/>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809]* #,##0_-;\-[$£-809]* #,##0_-;_-[$£-809]* &quot;-&quot;_-;_-@_-" sourceLinked="0"/>
        <c:majorTickMark val="none"/>
        <c:minorTickMark val="none"/>
        <c:tickLblPos val="high"/>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92131296"/>
        <c:crosses val="autoZero"/>
        <c:crossBetween val="between"/>
      </c:valAx>
      <c:spPr>
        <a:noFill/>
        <a:ln>
          <a:noFill/>
        </a:ln>
        <a:effectLst/>
      </c:spPr>
    </c:plotArea>
    <c:legend>
      <c:legendPos val="b"/>
      <c:layout>
        <c:manualLayout>
          <c:xMode val="edge"/>
          <c:yMode val="edge"/>
          <c:x val="2.9049836601307187E-2"/>
          <c:y val="0.78605685652929747"/>
          <c:w val="0.95218839001507782"/>
          <c:h val="0.20427600554037523"/>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AU" b="1">
                <a:solidFill>
                  <a:schemeClr val="tx1">
                    <a:lumMod val="85000"/>
                    <a:lumOff val="15000"/>
                  </a:schemeClr>
                </a:solidFill>
              </a:rPr>
              <a:t>UK exports</a:t>
            </a:r>
            <a:r>
              <a:rPr lang="en-AU" b="1" baseline="0">
                <a:solidFill>
                  <a:schemeClr val="tx1">
                    <a:lumMod val="85000"/>
                    <a:lumOff val="15000"/>
                  </a:schemeClr>
                </a:solidFill>
              </a:rPr>
              <a:t> to EU &amp; non-EU countries</a:t>
            </a:r>
            <a:r>
              <a:rPr lang="en-AU" b="1">
                <a:solidFill>
                  <a:schemeClr val="tx1">
                    <a:lumMod val="85000"/>
                    <a:lumOff val="15000"/>
                  </a:schemeClr>
                </a:solidFill>
              </a:rPr>
              <a:t>:</a:t>
            </a:r>
            <a:r>
              <a:rPr lang="en-AU" b="1" baseline="0">
                <a:solidFill>
                  <a:schemeClr val="tx1">
                    <a:lumMod val="85000"/>
                    <a:lumOff val="15000"/>
                  </a:schemeClr>
                </a:solidFill>
              </a:rPr>
              <a:t> 2017</a:t>
            </a:r>
            <a:endParaRPr lang="en-AU" b="1">
              <a:solidFill>
                <a:schemeClr val="tx1">
                  <a:lumMod val="85000"/>
                  <a:lumOff val="15000"/>
                </a:schemeClr>
              </a:solidFill>
            </a:endParaRPr>
          </a:p>
        </c:rich>
      </c:tx>
      <c:layout>
        <c:manualLayout>
          <c:xMode val="edge"/>
          <c:yMode val="edge"/>
          <c:x val="0.14183689414787873"/>
          <c:y val="3.161945950475079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0.13700874167588556"/>
          <c:y val="0.16194255968010454"/>
          <c:w val="0.83268822802108411"/>
          <c:h val="0.64590494720405101"/>
        </c:manualLayout>
      </c:layout>
      <c:barChart>
        <c:barDir val="col"/>
        <c:grouping val="stacked"/>
        <c:varyColors val="0"/>
        <c:ser>
          <c:idx val="0"/>
          <c:order val="0"/>
          <c:tx>
            <c:strRef>
              <c:f>'1. All Trade'!$A$7</c:f>
              <c:strCache>
                <c:ptCount val="1"/>
                <c:pt idx="0">
                  <c:v>Goods (£bn)</c:v>
                </c:pt>
              </c:strCache>
            </c:strRef>
          </c:tx>
          <c:spPr>
            <a:solidFill>
              <a:srgbClr val="002060"/>
            </a:solidFill>
            <a:ln w="12700">
              <a:solidFill>
                <a:sysClr val="windowText" lastClr="000000"/>
              </a:solidFill>
            </a:ln>
            <a:effectLst/>
          </c:spPr>
          <c:invertIfNegative val="0"/>
          <c:dLbls>
            <c:dLbl>
              <c:idx val="0"/>
              <c:tx>
                <c:rich>
                  <a:bodyPr/>
                  <a:lstStyle/>
                  <a:p>
                    <a:fld id="{A2EF2BAC-BCB9-4818-A401-2417AA94245A}" type="VALUE">
                      <a:rPr lang="en-US"/>
                      <a:pPr/>
                      <a:t>[VALUE]</a:t>
                    </a:fld>
                    <a:r>
                      <a:rPr lang="en-US"/>
                      <a:t>bn</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7CED-4418-8B4E-39B6964A8883}"/>
                </c:ext>
              </c:extLst>
            </c:dLbl>
            <c:dLbl>
              <c:idx val="1"/>
              <c:tx>
                <c:rich>
                  <a:bodyPr/>
                  <a:lstStyle/>
                  <a:p>
                    <a:fld id="{5C6CD886-5F17-4636-861F-E6E95FB0D6CD}" type="VALUE">
                      <a:rPr lang="en-US"/>
                      <a:pPr/>
                      <a:t>[VALUE]</a:t>
                    </a:fld>
                    <a:r>
                      <a:rPr lang="en-US"/>
                      <a:t> bn</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7CED-4418-8B4E-39B6964A8883}"/>
                </c:ext>
              </c:extLst>
            </c:dLbl>
            <c:numFmt formatCode="_-[$£-809]* #,##0_-;\-[$£-809]* #,##0_-;_-[$£-809]*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Trade'!$B$6:$C$6</c:f>
              <c:strCache>
                <c:ptCount val="2"/>
                <c:pt idx="0">
                  <c:v>EU</c:v>
                </c:pt>
                <c:pt idx="1">
                  <c:v>Non-EU</c:v>
                </c:pt>
              </c:strCache>
            </c:strRef>
          </c:cat>
          <c:val>
            <c:numRef>
              <c:f>'1. All Trade'!$B$7:$C$7</c:f>
              <c:numCache>
                <c:formatCode>_-[$£-809]* #,##0.0_-;\-[$£-809]* #,##0.0_-;_-[$£-809]* "-"??_-;_-@_-</c:formatCode>
                <c:ptCount val="2"/>
                <c:pt idx="0">
                  <c:v>164.08099999999999</c:v>
                </c:pt>
                <c:pt idx="1">
                  <c:v>174.65799999999999</c:v>
                </c:pt>
              </c:numCache>
            </c:numRef>
          </c:val>
          <c:extLst>
            <c:ext xmlns:c16="http://schemas.microsoft.com/office/drawing/2014/chart" uri="{C3380CC4-5D6E-409C-BE32-E72D297353CC}">
              <c16:uniqueId val="{00000002-7CED-4418-8B4E-39B6964A8883}"/>
            </c:ext>
          </c:extLst>
        </c:ser>
        <c:ser>
          <c:idx val="1"/>
          <c:order val="1"/>
          <c:tx>
            <c:strRef>
              <c:f>'1. All Trade'!$A$8</c:f>
              <c:strCache>
                <c:ptCount val="1"/>
                <c:pt idx="0">
                  <c:v>Services (£bn)*</c:v>
                </c:pt>
              </c:strCache>
            </c:strRef>
          </c:tx>
          <c:spPr>
            <a:solidFill>
              <a:srgbClr val="C00000"/>
            </a:solidFill>
            <a:ln w="12700" cmpd="sng">
              <a:solidFill>
                <a:srgbClr val="800000"/>
              </a:solidFill>
            </a:ln>
            <a:effectLst/>
          </c:spPr>
          <c:invertIfNegative val="0"/>
          <c:dLbls>
            <c:dLbl>
              <c:idx val="0"/>
              <c:tx>
                <c:rich>
                  <a:bodyPr/>
                  <a:lstStyle/>
                  <a:p>
                    <a:fld id="{5B94571F-9F7F-49A4-B22C-C2F7DC234E8F}" type="VALUE">
                      <a:rPr lang="en-US"/>
                      <a:pPr/>
                      <a:t>[VALUE]</a:t>
                    </a:fld>
                    <a:r>
                      <a:rPr lang="en-US"/>
                      <a:t>bn</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7CED-4418-8B4E-39B6964A8883}"/>
                </c:ext>
              </c:extLst>
            </c:dLbl>
            <c:dLbl>
              <c:idx val="1"/>
              <c:tx>
                <c:rich>
                  <a:bodyPr/>
                  <a:lstStyle/>
                  <a:p>
                    <a:fld id="{6CEC8278-BBCF-4067-BF92-035A830CB487}" type="VALUE">
                      <a:rPr lang="en-US"/>
                      <a:pPr/>
                      <a:t>[VALUE]</a:t>
                    </a:fld>
                    <a:r>
                      <a:rPr lang="en-US"/>
                      <a:t>bn</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7CED-4418-8B4E-39B6964A8883}"/>
                </c:ext>
              </c:extLst>
            </c:dLbl>
            <c:numFmt formatCode="_-[$£-809]* #,##0_-;\-[$£-809]* #,##0_-;_-[$£-809]*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Trade'!$B$6:$C$6</c:f>
              <c:strCache>
                <c:ptCount val="2"/>
                <c:pt idx="0">
                  <c:v>EU</c:v>
                </c:pt>
                <c:pt idx="1">
                  <c:v>Non-EU</c:v>
                </c:pt>
              </c:strCache>
            </c:strRef>
          </c:cat>
          <c:val>
            <c:numRef>
              <c:f>'1. All Trade'!$B$8:$C$8</c:f>
              <c:numCache>
                <c:formatCode>_-[$£-809]* #,##0.0_-;\-[$£-809]* #,##0.0_-;_-[$£-809]* "-"??_-;_-@_-</c:formatCode>
                <c:ptCount val="2"/>
                <c:pt idx="0">
                  <c:v>117.05</c:v>
                </c:pt>
                <c:pt idx="1">
                  <c:v>161.97399999999999</c:v>
                </c:pt>
              </c:numCache>
            </c:numRef>
          </c:val>
          <c:extLst>
            <c:ext xmlns:c16="http://schemas.microsoft.com/office/drawing/2014/chart" uri="{C3380CC4-5D6E-409C-BE32-E72D297353CC}">
              <c16:uniqueId val="{00000005-7CED-4418-8B4E-39B6964A8883}"/>
            </c:ext>
          </c:extLst>
        </c:ser>
        <c:dLbls>
          <c:dLblPos val="ctr"/>
          <c:showLegendKey val="0"/>
          <c:showVal val="1"/>
          <c:showCatName val="0"/>
          <c:showSerName val="0"/>
          <c:showPercent val="0"/>
          <c:showBubbleSize val="0"/>
        </c:dLbls>
        <c:gapWidth val="150"/>
        <c:overlap val="100"/>
        <c:axId val="607280504"/>
        <c:axId val="607277224"/>
      </c:barChart>
      <c:catAx>
        <c:axId val="607280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crossAx val="607277224"/>
        <c:crosses val="autoZero"/>
        <c:auto val="1"/>
        <c:lblAlgn val="ctr"/>
        <c:lblOffset val="100"/>
        <c:noMultiLvlLbl val="0"/>
      </c:catAx>
      <c:valAx>
        <c:axId val="607277224"/>
        <c:scaling>
          <c:orientation val="minMax"/>
          <c:max val="3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r>
                  <a:rPr lang="en-AU" sz="1100">
                    <a:solidFill>
                      <a:schemeClr val="tx1">
                        <a:lumMod val="85000"/>
                        <a:lumOff val="15000"/>
                      </a:schemeClr>
                    </a:solidFill>
                  </a:rPr>
                  <a:t>£ billion</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crossAx val="607280504"/>
        <c:crosses val="autoZero"/>
        <c:crossBetween val="between"/>
      </c:valAx>
      <c:spPr>
        <a:noFill/>
        <a:ln w="12700">
          <a:solidFill>
            <a:schemeClr val="bg1">
              <a:lumMod val="95000"/>
            </a:schemeClr>
          </a:solidFill>
        </a:ln>
        <a:effectLst/>
      </c:spPr>
    </c:plotArea>
    <c:legend>
      <c:legendPos val="b"/>
      <c:layout>
        <c:manualLayout>
          <c:xMode val="edge"/>
          <c:yMode val="edge"/>
          <c:x val="0.27129769466957188"/>
          <c:y val="0.89324998144957335"/>
          <c:w val="0.47692632857203243"/>
          <c:h val="0.1067500185504266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85000"/>
                  <a:lumOff val="1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75000"/>
                    <a:lumOff val="25000"/>
                  </a:schemeClr>
                </a:solidFill>
                <a:latin typeface="+mn-lt"/>
                <a:ea typeface="+mn-ea"/>
                <a:cs typeface="+mn-cs"/>
              </a:defRPr>
            </a:pPr>
            <a:r>
              <a:rPr lang="en-US" cap="none" baseline="0">
                <a:solidFill>
                  <a:schemeClr val="tx1">
                    <a:lumMod val="75000"/>
                    <a:lumOff val="25000"/>
                  </a:schemeClr>
                </a:solidFill>
              </a:rPr>
              <a:t>UK trade in goods &amp; services: 2017</a:t>
            </a:r>
          </a:p>
          <a:p>
            <a:pPr>
              <a:defRPr>
                <a:solidFill>
                  <a:schemeClr val="tx1">
                    <a:lumMod val="75000"/>
                    <a:lumOff val="25000"/>
                  </a:schemeClr>
                </a:solidFill>
              </a:defRPr>
            </a:pPr>
            <a:r>
              <a:rPr lang="en-US" cap="none" baseline="0">
                <a:solidFill>
                  <a:schemeClr val="tx1">
                    <a:lumMod val="75000"/>
                    <a:lumOff val="25000"/>
                  </a:schemeClr>
                </a:solidFill>
              </a:rPr>
              <a:t>Total </a:t>
            </a:r>
            <a:r>
              <a:rPr lang="en-US" cap="none" baseline="0">
                <a:solidFill>
                  <a:schemeClr val="tx1">
                    <a:lumMod val="75000"/>
                    <a:lumOff val="25000"/>
                  </a:schemeClr>
                </a:solidFill>
                <a:latin typeface="Calibri" panose="020F0502020204030204" pitchFamily="34" charset="0"/>
                <a:cs typeface="Calibri" panose="020F0502020204030204" pitchFamily="34" charset="0"/>
              </a:rPr>
              <a:t>£1,135 bn</a:t>
            </a:r>
            <a:endParaRPr lang="en-US" cap="none" baseline="0">
              <a:solidFill>
                <a:schemeClr val="tx1">
                  <a:lumMod val="75000"/>
                  <a:lumOff val="25000"/>
                </a:schemeClr>
              </a:solidFill>
            </a:endParaRPr>
          </a:p>
        </c:rich>
      </c:tx>
      <c:layout>
        <c:manualLayout>
          <c:xMode val="edge"/>
          <c:yMode val="edge"/>
          <c:x val="0.41267507665145464"/>
          <c:y val="5.7471264367816091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4.1169910067547867E-2"/>
          <c:y val="7.566999527357933E-2"/>
          <c:w val="0.33749103434142808"/>
          <c:h val="0.86118401866433369"/>
        </c:manualLayout>
      </c:layout>
      <c:doughnutChart>
        <c:varyColors val="1"/>
        <c:ser>
          <c:idx val="0"/>
          <c:order val="0"/>
          <c:tx>
            <c:strRef>
              <c:f>'1. All Trade'!$B$57</c:f>
              <c:strCache>
                <c:ptCount val="1"/>
                <c:pt idx="0">
                  <c:v> £ billion </c:v>
                </c:pt>
              </c:strCache>
            </c:strRef>
          </c:tx>
          <c:spPr>
            <a:solidFill>
              <a:srgbClr val="002060"/>
            </a:solidFill>
            <a:ln>
              <a:solidFill>
                <a:srgbClr val="990000"/>
              </a:solidFill>
            </a:ln>
          </c:spPr>
          <c:dPt>
            <c:idx val="0"/>
            <c:bubble3D val="0"/>
            <c:spPr>
              <a:solidFill>
                <a:srgbClr val="002060"/>
              </a:solidFill>
              <a:ln>
                <a:solidFill>
                  <a:srgbClr val="000E2A"/>
                </a:solid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4C1-4E22-8F91-4B9F6147B59A}"/>
              </c:ext>
            </c:extLst>
          </c:dPt>
          <c:dPt>
            <c:idx val="1"/>
            <c:bubble3D val="0"/>
            <c:spPr>
              <a:solidFill>
                <a:srgbClr val="C00000"/>
              </a:solidFill>
              <a:ln>
                <a:solidFill>
                  <a:srgbClr val="990000"/>
                </a:solid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14C1-4E22-8F91-4B9F6147B59A}"/>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 All Trade'!$A$58:$A$59</c:f>
              <c:strCache>
                <c:ptCount val="2"/>
                <c:pt idx="0">
                  <c:v>Trade in Goods</c:v>
                </c:pt>
                <c:pt idx="1">
                  <c:v>Trade in Services</c:v>
                </c:pt>
              </c:strCache>
            </c:strRef>
          </c:cat>
          <c:val>
            <c:numRef>
              <c:f>'1. All Trade'!$B$58:$B$59</c:f>
              <c:numCache>
                <c:formatCode>_-[$£-809]* #,##0.0_-;\-[$£-809]* #,##0.0_-;_-[$£-809]* "-"??_-;_-@_-</c:formatCode>
                <c:ptCount val="2"/>
                <c:pt idx="0">
                  <c:v>814.51300000000003</c:v>
                </c:pt>
                <c:pt idx="1">
                  <c:v>443.75299999999999</c:v>
                </c:pt>
              </c:numCache>
            </c:numRef>
          </c:val>
          <c:extLst>
            <c:ext xmlns:c16="http://schemas.microsoft.com/office/drawing/2014/chart" uri="{C3380CC4-5D6E-409C-BE32-E72D297353CC}">
              <c16:uniqueId val="{00000004-14C1-4E22-8F91-4B9F6147B59A}"/>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44113995885649426"/>
          <c:y val="0.50055208616164359"/>
          <c:w val="0.25355473583820043"/>
          <c:h val="0.2618587906396757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85000"/>
                  <a:lumOff val="1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75000"/>
                    <a:lumOff val="25000"/>
                  </a:schemeClr>
                </a:solidFill>
                <a:latin typeface="+mn-lt"/>
                <a:ea typeface="+mn-ea"/>
                <a:cs typeface="+mn-cs"/>
              </a:defRPr>
            </a:pPr>
            <a:r>
              <a:rPr lang="en-US">
                <a:solidFill>
                  <a:schemeClr val="tx1">
                    <a:lumMod val="75000"/>
                    <a:lumOff val="25000"/>
                  </a:schemeClr>
                </a:solidFill>
              </a:rPr>
              <a:t>UK</a:t>
            </a:r>
            <a:r>
              <a:rPr lang="en-US" baseline="0">
                <a:solidFill>
                  <a:schemeClr val="tx1">
                    <a:lumMod val="75000"/>
                    <a:lumOff val="25000"/>
                  </a:schemeClr>
                </a:solidFill>
              </a:rPr>
              <a:t> </a:t>
            </a:r>
            <a:r>
              <a:rPr lang="en-US" cap="none" baseline="0">
                <a:solidFill>
                  <a:schemeClr val="tx1">
                    <a:lumMod val="75000"/>
                    <a:lumOff val="25000"/>
                  </a:schemeClr>
                </a:solidFill>
              </a:rPr>
              <a:t>export of goods &amp; services: 2017</a:t>
            </a:r>
          </a:p>
          <a:p>
            <a:pPr>
              <a:defRPr>
                <a:solidFill>
                  <a:schemeClr val="tx1">
                    <a:lumMod val="75000"/>
                    <a:lumOff val="25000"/>
                  </a:schemeClr>
                </a:solidFill>
              </a:defRPr>
            </a:pPr>
            <a:r>
              <a:rPr lang="en-US" cap="none" baseline="0">
                <a:solidFill>
                  <a:schemeClr val="tx1">
                    <a:lumMod val="75000"/>
                    <a:lumOff val="25000"/>
                  </a:schemeClr>
                </a:solidFill>
              </a:rPr>
              <a:t>Total </a:t>
            </a:r>
            <a:r>
              <a:rPr lang="en-US" cap="none" baseline="0">
                <a:solidFill>
                  <a:schemeClr val="tx1">
                    <a:lumMod val="75000"/>
                    <a:lumOff val="25000"/>
                  </a:schemeClr>
                </a:solidFill>
                <a:latin typeface="Calibri" panose="020F0502020204030204" pitchFamily="34" charset="0"/>
                <a:cs typeface="Calibri" panose="020F0502020204030204" pitchFamily="34" charset="0"/>
              </a:rPr>
              <a:t>£546.8 bn</a:t>
            </a:r>
            <a:r>
              <a:rPr lang="en-US" cap="none" baseline="0">
                <a:solidFill>
                  <a:schemeClr val="tx1">
                    <a:lumMod val="75000"/>
                    <a:lumOff val="25000"/>
                  </a:schemeClr>
                </a:solidFill>
              </a:rPr>
              <a:t> </a:t>
            </a:r>
            <a:endParaRPr lang="en-US">
              <a:solidFill>
                <a:schemeClr val="tx1">
                  <a:lumMod val="75000"/>
                  <a:lumOff val="25000"/>
                </a:schemeClr>
              </a:solidFill>
            </a:endParaRPr>
          </a:p>
        </c:rich>
      </c:tx>
      <c:layout>
        <c:manualLayout>
          <c:xMode val="edge"/>
          <c:yMode val="edge"/>
          <c:x val="0.33250354640040092"/>
          <c:y val="4.4388167695254312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2.5505280717673245E-2"/>
          <c:y val="5.73382634603107E-2"/>
          <c:w val="0.35830730292862595"/>
          <c:h val="0.89350872526069391"/>
        </c:manualLayout>
      </c:layout>
      <c:doughnutChart>
        <c:varyColors val="1"/>
        <c:ser>
          <c:idx val="0"/>
          <c:order val="0"/>
          <c:tx>
            <c:strRef>
              <c:f>'1. All Trade'!$B$63</c:f>
              <c:strCache>
                <c:ptCount val="1"/>
                <c:pt idx="0">
                  <c:v> £ billion </c:v>
                </c:pt>
              </c:strCache>
            </c:strRef>
          </c:tx>
          <c:dPt>
            <c:idx val="0"/>
            <c:bubble3D val="0"/>
            <c:spPr>
              <a:solidFill>
                <a:srgbClr val="002060"/>
              </a:solidFill>
              <a:ln>
                <a:solidFill>
                  <a:srgbClr val="000E2A"/>
                </a:solid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B620-4EB5-9254-428D4DC42B16}"/>
              </c:ext>
            </c:extLst>
          </c:dPt>
          <c:dPt>
            <c:idx val="1"/>
            <c:bubble3D val="0"/>
            <c:spPr>
              <a:solidFill>
                <a:srgbClr val="C00000"/>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B620-4EB5-9254-428D4DC42B16}"/>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 All Trade'!$A$64:$A$65</c:f>
              <c:strCache>
                <c:ptCount val="2"/>
                <c:pt idx="0">
                  <c:v>Export of Goods</c:v>
                </c:pt>
                <c:pt idx="1">
                  <c:v>Export of Services</c:v>
                </c:pt>
              </c:strCache>
            </c:strRef>
          </c:cat>
          <c:val>
            <c:numRef>
              <c:f>'1. All Trade'!$B$64:$B$65</c:f>
              <c:numCache>
                <c:formatCode>_-[$£-809]* #,##0.0_-;\-[$£-809]* #,##0.0_-;_-[$£-809]* "-"??_-;_-@_-</c:formatCode>
                <c:ptCount val="2"/>
                <c:pt idx="0">
                  <c:v>338.73899999999998</c:v>
                </c:pt>
                <c:pt idx="1">
                  <c:v>279.024</c:v>
                </c:pt>
              </c:numCache>
            </c:numRef>
          </c:val>
          <c:extLst>
            <c:ext xmlns:c16="http://schemas.microsoft.com/office/drawing/2014/chart" uri="{C3380CC4-5D6E-409C-BE32-E72D297353CC}">
              <c16:uniqueId val="{00000004-B620-4EB5-9254-428D4DC42B16}"/>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47682780164564925"/>
          <c:y val="0.51409768035752279"/>
          <c:w val="0.28744244633249183"/>
          <c:h val="0.2770749095552245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85000"/>
                  <a:lumOff val="1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r>
              <a:rPr lang="en-AU" b="1">
                <a:solidFill>
                  <a:schemeClr val="tx1">
                    <a:lumMod val="75000"/>
                    <a:lumOff val="25000"/>
                  </a:schemeClr>
                </a:solidFill>
              </a:rPr>
              <a:t>Annual</a:t>
            </a:r>
            <a:r>
              <a:rPr lang="en-AU" b="1" baseline="0">
                <a:solidFill>
                  <a:schemeClr val="tx1">
                    <a:lumMod val="75000"/>
                    <a:lumOff val="25000"/>
                  </a:schemeClr>
                </a:solidFill>
              </a:rPr>
              <a:t> Growth of UK Trade: 1998 </a:t>
            </a:r>
            <a:r>
              <a:rPr lang="en-AU" b="1" baseline="0">
                <a:solidFill>
                  <a:schemeClr val="tx1">
                    <a:lumMod val="75000"/>
                    <a:lumOff val="25000"/>
                  </a:schemeClr>
                </a:solidFill>
                <a:latin typeface="Calibri" panose="020F0502020204030204" pitchFamily="34" charset="0"/>
                <a:cs typeface="Calibri" panose="020F0502020204030204" pitchFamily="34" charset="0"/>
              </a:rPr>
              <a:t>‒ 2017</a:t>
            </a:r>
            <a:endParaRPr lang="en-AU" b="1">
              <a:solidFill>
                <a:schemeClr val="tx1">
                  <a:lumMod val="75000"/>
                  <a:lumOff val="25000"/>
                </a:schemeClr>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'1. All Trade'!$B$80</c:f>
              <c:strCache>
                <c:ptCount val="1"/>
                <c:pt idx="0">
                  <c:v>Exports</c:v>
                </c:pt>
              </c:strCache>
            </c:strRef>
          </c:tx>
          <c:spPr>
            <a:solidFill>
              <a:srgbClr val="002060"/>
            </a:solidFill>
            <a:ln>
              <a:noFill/>
            </a:ln>
            <a:effectLst/>
          </c:spPr>
          <c:invertIfNegative val="0"/>
          <c:dLbls>
            <c:dLbl>
              <c:idx val="1"/>
              <c:layout>
                <c:manualLayout>
                  <c:x val="-5.5555555555555549E-3"/>
                  <c:y val="-4.6294473607465664E-3"/>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7.8013779527559057E-2"/>
                      <c:h val="6.9375182268883062E-2"/>
                    </c:manualLayout>
                  </c15:layout>
                </c:ext>
                <c:ext xmlns:c16="http://schemas.microsoft.com/office/drawing/2014/chart" uri="{C3380CC4-5D6E-409C-BE32-E72D297353CC}">
                  <c16:uniqueId val="{00000006-D7C1-41CA-9FB9-A2C3ADD83234}"/>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Trade'!$A$81:$A$84</c:f>
              <c:strCache>
                <c:ptCount val="4"/>
                <c:pt idx="0">
                  <c:v>Goods: Non-EU</c:v>
                </c:pt>
                <c:pt idx="1">
                  <c:v>Goods: EU</c:v>
                </c:pt>
                <c:pt idx="2">
                  <c:v>Services: Non-EU</c:v>
                </c:pt>
                <c:pt idx="3">
                  <c:v>Services: EU</c:v>
                </c:pt>
              </c:strCache>
            </c:strRef>
          </c:cat>
          <c:val>
            <c:numRef>
              <c:f>'1. All Trade'!$B$81:$B$84</c:f>
              <c:numCache>
                <c:formatCode>0.0%</c:formatCode>
                <c:ptCount val="4"/>
                <c:pt idx="0">
                  <c:v>3.3180528731200809E-2</c:v>
                </c:pt>
                <c:pt idx="1">
                  <c:v>2.1661529189782591E-3</c:v>
                </c:pt>
                <c:pt idx="2">
                  <c:v>5.5755152274452824E-2</c:v>
                </c:pt>
                <c:pt idx="3">
                  <c:v>5.2002671047515214E-2</c:v>
                </c:pt>
              </c:numCache>
            </c:numRef>
          </c:val>
          <c:extLst>
            <c:ext xmlns:c16="http://schemas.microsoft.com/office/drawing/2014/chart" uri="{C3380CC4-5D6E-409C-BE32-E72D297353CC}">
              <c16:uniqueId val="{00000000-D7C1-41CA-9FB9-A2C3ADD83234}"/>
            </c:ext>
          </c:extLst>
        </c:ser>
        <c:ser>
          <c:idx val="1"/>
          <c:order val="1"/>
          <c:tx>
            <c:strRef>
              <c:f>'1. All Trade'!$C$80</c:f>
              <c:strCache>
                <c:ptCount val="1"/>
                <c:pt idx="0">
                  <c:v>Imports</c:v>
                </c:pt>
              </c:strCache>
            </c:strRef>
          </c:tx>
          <c:spPr>
            <a:solidFill>
              <a:srgbClr val="990000"/>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AU" sz="10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Trade'!$A$81:$A$84</c:f>
              <c:strCache>
                <c:ptCount val="4"/>
                <c:pt idx="0">
                  <c:v>Goods: Non-EU</c:v>
                </c:pt>
                <c:pt idx="1">
                  <c:v>Goods: EU</c:v>
                </c:pt>
                <c:pt idx="2">
                  <c:v>Services: Non-EU</c:v>
                </c:pt>
                <c:pt idx="3">
                  <c:v>Services: EU</c:v>
                </c:pt>
              </c:strCache>
            </c:strRef>
          </c:cat>
          <c:val>
            <c:numRef>
              <c:f>'1. All Trade'!$C$81:$C$84</c:f>
              <c:numCache>
                <c:formatCode>0.0%</c:formatCode>
                <c:ptCount val="4"/>
                <c:pt idx="0">
                  <c:v>3.3511082765480982E-2</c:v>
                </c:pt>
                <c:pt idx="1">
                  <c:v>3.2232660366701138E-2</c:v>
                </c:pt>
                <c:pt idx="2">
                  <c:v>4.7306337249057862E-2</c:v>
                </c:pt>
                <c:pt idx="3">
                  <c:v>3.0100121196344087E-2</c:v>
                </c:pt>
              </c:numCache>
            </c:numRef>
          </c:val>
          <c:extLst>
            <c:ext xmlns:c16="http://schemas.microsoft.com/office/drawing/2014/chart" uri="{C3380CC4-5D6E-409C-BE32-E72D297353CC}">
              <c16:uniqueId val="{00000001-D7C1-41CA-9FB9-A2C3ADD83234}"/>
            </c:ext>
          </c:extLst>
        </c:ser>
        <c:dLbls>
          <c:dLblPos val="inEnd"/>
          <c:showLegendKey val="0"/>
          <c:showVal val="1"/>
          <c:showCatName val="0"/>
          <c:showSerName val="0"/>
          <c:showPercent val="0"/>
          <c:showBubbleSize val="0"/>
        </c:dLbls>
        <c:gapWidth val="219"/>
        <c:overlap val="-27"/>
        <c:axId val="658226672"/>
        <c:axId val="658221752"/>
      </c:barChart>
      <c:catAx>
        <c:axId val="658226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58221752"/>
        <c:crosses val="autoZero"/>
        <c:auto val="1"/>
        <c:lblAlgn val="ctr"/>
        <c:lblOffset val="100"/>
        <c:noMultiLvlLbl val="0"/>
      </c:catAx>
      <c:valAx>
        <c:axId val="658221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75000"/>
                    <a:lumOff val="25000"/>
                  </a:schemeClr>
                </a:solidFill>
                <a:latin typeface="+mn-lt"/>
                <a:ea typeface="+mn-ea"/>
                <a:cs typeface="+mn-cs"/>
              </a:defRPr>
            </a:pPr>
            <a:endParaRPr lang="en-US"/>
          </a:p>
        </c:txPr>
        <c:crossAx val="658226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400" b="1" i="0" u="none" strike="noStrike" kern="1200" spc="0" baseline="0">
                <a:solidFill>
                  <a:schemeClr val="tx1">
                    <a:lumMod val="85000"/>
                    <a:lumOff val="15000"/>
                  </a:schemeClr>
                </a:solidFill>
                <a:latin typeface="+mn-lt"/>
                <a:ea typeface="+mn-ea"/>
                <a:cs typeface="+mn-cs"/>
              </a:defRPr>
            </a:pPr>
            <a:r>
              <a:rPr lang="en-AU" sz="1400" b="1" i="0" u="none" strike="noStrike" kern="1200" spc="0" baseline="0">
                <a:solidFill>
                  <a:schemeClr val="tx1">
                    <a:lumMod val="85000"/>
                    <a:lumOff val="15000"/>
                  </a:schemeClr>
                </a:solidFill>
                <a:latin typeface="+mn-lt"/>
                <a:ea typeface="+mn-ea"/>
                <a:cs typeface="+mn-cs"/>
              </a:rPr>
              <a:t>How UK currently Exports: </a:t>
            </a:r>
          </a:p>
          <a:p>
            <a:pPr>
              <a:defRPr lang="en-AU" b="1">
                <a:solidFill>
                  <a:schemeClr val="tx1">
                    <a:lumMod val="85000"/>
                    <a:lumOff val="15000"/>
                  </a:schemeClr>
                </a:solidFill>
              </a:defRPr>
            </a:pPr>
            <a:r>
              <a:rPr lang="en-AU" sz="1400" b="1" i="0" u="none" strike="noStrike" kern="1200" spc="0" baseline="0">
                <a:solidFill>
                  <a:schemeClr val="tx1">
                    <a:lumMod val="85000"/>
                    <a:lumOff val="15000"/>
                  </a:schemeClr>
                </a:solidFill>
                <a:latin typeface="+mn-lt"/>
                <a:ea typeface="+mn-ea"/>
                <a:cs typeface="+mn-cs"/>
              </a:rPr>
              <a:t>EU, EFTA, existing FTA &amp; WTO (2017)</a:t>
            </a:r>
          </a:p>
        </c:rich>
      </c:tx>
      <c:layout>
        <c:manualLayout>
          <c:xMode val="edge"/>
          <c:yMode val="edge"/>
          <c:x val="0.2271082160517307"/>
          <c:y val="2.3289374994066098E-2"/>
        </c:manualLayout>
      </c:layout>
      <c:overlay val="0"/>
      <c:spPr>
        <a:noFill/>
        <a:ln>
          <a:noFill/>
        </a:ln>
        <a:effectLst/>
      </c:spPr>
      <c:txPr>
        <a:bodyPr rot="0" spcFirstLastPara="1" vertOverflow="ellipsis" vert="horz" wrap="square" anchor="ctr" anchorCtr="1"/>
        <a:lstStyle/>
        <a:p>
          <a:pPr>
            <a:defRPr lang="en-AU"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8.2329752264960809E-2"/>
          <c:y val="0.20965330521374972"/>
          <c:w val="0.42785240358557791"/>
          <c:h val="0.73680918045356691"/>
        </c:manualLayout>
      </c:layout>
      <c:doughnutChart>
        <c:varyColors val="1"/>
        <c:ser>
          <c:idx val="0"/>
          <c:order val="0"/>
          <c:tx>
            <c:strRef>
              <c:f>'1. All Trade'!$B$32</c:f>
              <c:strCache>
                <c:ptCount val="1"/>
                <c:pt idx="0">
                  <c:v>UK Services</c:v>
                </c:pt>
              </c:strCache>
            </c:strRef>
          </c:tx>
          <c:explosion val="4"/>
          <c:dPt>
            <c:idx val="0"/>
            <c:bubble3D val="0"/>
            <c:spPr>
              <a:solidFill>
                <a:srgbClr val="002060"/>
              </a:solidFill>
              <a:ln w="19050">
                <a:solidFill>
                  <a:schemeClr val="lt1"/>
                </a:solidFill>
              </a:ln>
              <a:effectLst/>
            </c:spPr>
            <c:extLst>
              <c:ext xmlns:c16="http://schemas.microsoft.com/office/drawing/2014/chart" uri="{C3380CC4-5D6E-409C-BE32-E72D297353CC}">
                <c16:uniqueId val="{00000009-0BE9-44D0-A5DC-76EE56A0D139}"/>
              </c:ext>
            </c:extLst>
          </c:dPt>
          <c:dPt>
            <c:idx val="1"/>
            <c:bubble3D val="0"/>
            <c:spPr>
              <a:solidFill>
                <a:srgbClr val="062B03"/>
              </a:solidFill>
              <a:ln w="19050">
                <a:solidFill>
                  <a:schemeClr val="lt1"/>
                </a:solidFill>
              </a:ln>
              <a:effectLst/>
            </c:spPr>
            <c:extLst>
              <c:ext xmlns:c16="http://schemas.microsoft.com/office/drawing/2014/chart" uri="{C3380CC4-5D6E-409C-BE32-E72D297353CC}">
                <c16:uniqueId val="{00000006-0BE9-44D0-A5DC-76EE56A0D139}"/>
              </c:ext>
            </c:extLst>
          </c:dPt>
          <c:dPt>
            <c:idx val="2"/>
            <c:bubble3D val="0"/>
            <c:spPr>
              <a:solidFill>
                <a:schemeClr val="accent2">
                  <a:lumMod val="50000"/>
                </a:schemeClr>
              </a:solidFill>
              <a:ln w="19050">
                <a:solidFill>
                  <a:schemeClr val="lt1"/>
                </a:solidFill>
              </a:ln>
              <a:effectLst/>
            </c:spPr>
            <c:extLst>
              <c:ext xmlns:c16="http://schemas.microsoft.com/office/drawing/2014/chart" uri="{C3380CC4-5D6E-409C-BE32-E72D297353CC}">
                <c16:uniqueId val="{00000007-0BE9-44D0-A5DC-76EE56A0D139}"/>
              </c:ext>
            </c:extLst>
          </c:dPt>
          <c:dPt>
            <c:idx val="3"/>
            <c:bubble3D val="0"/>
            <c:spPr>
              <a:solidFill>
                <a:srgbClr val="C00000"/>
              </a:solidFill>
              <a:ln w="19050">
                <a:solidFill>
                  <a:schemeClr val="lt1"/>
                </a:solidFill>
              </a:ln>
              <a:effectLst/>
            </c:spPr>
            <c:extLst>
              <c:ext xmlns:c16="http://schemas.microsoft.com/office/drawing/2014/chart" uri="{C3380CC4-5D6E-409C-BE32-E72D297353CC}">
                <c16:uniqueId val="{00000004-0BE9-44D0-A5DC-76EE56A0D139}"/>
              </c:ext>
            </c:extLst>
          </c:dPt>
          <c:dLbls>
            <c:dLbl>
              <c:idx val="2"/>
              <c:delete val="1"/>
              <c:extLst>
                <c:ext xmlns:c15="http://schemas.microsoft.com/office/drawing/2012/chart" uri="{CE6537A1-D6FC-4f65-9D91-7224C49458BB}"/>
                <c:ext xmlns:c16="http://schemas.microsoft.com/office/drawing/2014/chart" uri="{C3380CC4-5D6E-409C-BE32-E72D297353CC}">
                  <c16:uniqueId val="{00000007-0BE9-44D0-A5DC-76EE56A0D13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 All Trade'!$A$33:$A$36</c:f>
              <c:strCache>
                <c:ptCount val="4"/>
                <c:pt idx="0">
                  <c:v>EU Customs Union</c:v>
                </c:pt>
                <c:pt idx="1">
                  <c:v>European Free Trade Association</c:v>
                </c:pt>
                <c:pt idx="2">
                  <c:v>EU-Negotiated Trade Agreements</c:v>
                </c:pt>
                <c:pt idx="3">
                  <c:v>World Trade Organisation</c:v>
                </c:pt>
              </c:strCache>
            </c:strRef>
          </c:cat>
          <c:val>
            <c:numRef>
              <c:f>'1. All Trade'!$B$33:$B$36</c:f>
              <c:numCache>
                <c:formatCode>0.0%</c:formatCode>
                <c:ptCount val="4"/>
                <c:pt idx="0">
                  <c:v>0.39707324277283379</c:v>
                </c:pt>
                <c:pt idx="1">
                  <c:v>7.1999999999999995E-2</c:v>
                </c:pt>
                <c:pt idx="2">
                  <c:v>1.7999999999999999E-2</c:v>
                </c:pt>
                <c:pt idx="3">
                  <c:v>0.51292675722716619</c:v>
                </c:pt>
              </c:numCache>
            </c:numRef>
          </c:val>
          <c:extLst>
            <c:ext xmlns:c16="http://schemas.microsoft.com/office/drawing/2014/chart" uri="{C3380CC4-5D6E-409C-BE32-E72D297353CC}">
              <c16:uniqueId val="{00000000-0BE9-44D0-A5DC-76EE56A0D139}"/>
            </c:ext>
          </c:extLst>
        </c:ser>
        <c:ser>
          <c:idx val="1"/>
          <c:order val="1"/>
          <c:tx>
            <c:strRef>
              <c:f>'1. All Trade'!$C$32</c:f>
              <c:strCache>
                <c:ptCount val="1"/>
                <c:pt idx="0">
                  <c:v>UK Goods</c:v>
                </c:pt>
              </c:strCache>
            </c:strRef>
          </c:tx>
          <c:explosion val="4"/>
          <c:dPt>
            <c:idx val="0"/>
            <c:bubble3D val="0"/>
            <c:spPr>
              <a:solidFill>
                <a:srgbClr val="002060"/>
              </a:solidFill>
              <a:ln w="19050">
                <a:solidFill>
                  <a:schemeClr val="lt1"/>
                </a:solidFill>
              </a:ln>
              <a:effectLst/>
            </c:spPr>
            <c:extLst>
              <c:ext xmlns:c16="http://schemas.microsoft.com/office/drawing/2014/chart" uri="{C3380CC4-5D6E-409C-BE32-E72D297353CC}">
                <c16:uniqueId val="{00000003-0BE9-44D0-A5DC-76EE56A0D139}"/>
              </c:ext>
            </c:extLst>
          </c:dPt>
          <c:dPt>
            <c:idx val="1"/>
            <c:bubble3D val="0"/>
            <c:spPr>
              <a:solidFill>
                <a:srgbClr val="062B03"/>
              </a:solidFill>
              <a:ln w="19050">
                <a:solidFill>
                  <a:schemeClr val="lt1"/>
                </a:solidFill>
              </a:ln>
              <a:effectLst/>
            </c:spPr>
            <c:extLst>
              <c:ext xmlns:c16="http://schemas.microsoft.com/office/drawing/2014/chart" uri="{C3380CC4-5D6E-409C-BE32-E72D297353CC}">
                <c16:uniqueId val="{00000005-0BE9-44D0-A5DC-76EE56A0D139}"/>
              </c:ext>
            </c:extLst>
          </c:dPt>
          <c:dPt>
            <c:idx val="2"/>
            <c:bubble3D val="0"/>
            <c:spPr>
              <a:solidFill>
                <a:schemeClr val="accent2">
                  <a:lumMod val="50000"/>
                </a:schemeClr>
              </a:solidFill>
              <a:ln w="19050">
                <a:solidFill>
                  <a:schemeClr val="lt1"/>
                </a:solidFill>
              </a:ln>
              <a:effectLst/>
            </c:spPr>
            <c:extLst>
              <c:ext xmlns:c16="http://schemas.microsoft.com/office/drawing/2014/chart" uri="{C3380CC4-5D6E-409C-BE32-E72D297353CC}">
                <c16:uniqueId val="{00000008-0BE9-44D0-A5DC-76EE56A0D139}"/>
              </c:ext>
            </c:extLst>
          </c:dPt>
          <c:dPt>
            <c:idx val="3"/>
            <c:bubble3D val="0"/>
            <c:spPr>
              <a:solidFill>
                <a:srgbClr val="C00000"/>
              </a:solidFill>
              <a:ln w="19050">
                <a:solidFill>
                  <a:schemeClr val="lt1"/>
                </a:solidFill>
              </a:ln>
              <a:effectLst/>
            </c:spPr>
            <c:extLst>
              <c:ext xmlns:c16="http://schemas.microsoft.com/office/drawing/2014/chart" uri="{C3380CC4-5D6E-409C-BE32-E72D297353CC}">
                <c16:uniqueId val="{00000002-0BE9-44D0-A5DC-76EE56A0D139}"/>
              </c:ext>
            </c:extLst>
          </c:dPt>
          <c:dLbls>
            <c:numFmt formatCode="0%" sourceLinked="0"/>
            <c:spPr>
              <a:noFill/>
              <a:ln>
                <a:noFill/>
              </a:ln>
              <a:effectLst/>
            </c:spPr>
            <c:txPr>
              <a:bodyPr rot="0" spcFirstLastPara="1" vertOverflow="ellipsis" vert="horz" wrap="square" lIns="38100" tIns="19050" rIns="38100" bIns="19050" anchor="ctr" anchorCtr="0">
                <a:spAutoFit/>
              </a:bodyPr>
              <a:lstStyle/>
              <a:p>
                <a:pPr algn="ctr">
                  <a:defRPr lang="en-AU" sz="10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 All Trade'!$A$33:$A$36</c:f>
              <c:strCache>
                <c:ptCount val="4"/>
                <c:pt idx="0">
                  <c:v>EU Customs Union</c:v>
                </c:pt>
                <c:pt idx="1">
                  <c:v>European Free Trade Association</c:v>
                </c:pt>
                <c:pt idx="2">
                  <c:v>EU-Negotiated Trade Agreements</c:v>
                </c:pt>
                <c:pt idx="3">
                  <c:v>World Trade Organisation</c:v>
                </c:pt>
              </c:strCache>
            </c:strRef>
          </c:cat>
          <c:val>
            <c:numRef>
              <c:f>'1. All Trade'!$C$33:$C$36</c:f>
              <c:numCache>
                <c:formatCode>0.0%</c:formatCode>
                <c:ptCount val="4"/>
                <c:pt idx="0">
                  <c:v>0.47589214928694273</c:v>
                </c:pt>
                <c:pt idx="1">
                  <c:v>8.1000000000000003E-2</c:v>
                </c:pt>
                <c:pt idx="2">
                  <c:v>6.0999999999999999E-2</c:v>
                </c:pt>
                <c:pt idx="3">
                  <c:v>0.38210785071305731</c:v>
                </c:pt>
              </c:numCache>
            </c:numRef>
          </c:val>
          <c:extLst>
            <c:ext xmlns:c16="http://schemas.microsoft.com/office/drawing/2014/chart" uri="{C3380CC4-5D6E-409C-BE32-E72D297353CC}">
              <c16:uniqueId val="{00000001-0BE9-44D0-A5DC-76EE56A0D139}"/>
            </c:ext>
          </c:extLst>
        </c:ser>
        <c:dLbls>
          <c:showLegendKey val="0"/>
          <c:showVal val="0"/>
          <c:showCatName val="0"/>
          <c:showSerName val="0"/>
          <c:showPercent val="0"/>
          <c:showBubbleSize val="0"/>
          <c:showLeaderLines val="1"/>
        </c:dLbls>
        <c:firstSliceAng val="0"/>
        <c:holeSize val="38"/>
      </c:doughnutChart>
      <c:spPr>
        <a:noFill/>
        <a:ln>
          <a:noFill/>
        </a:ln>
        <a:effectLst/>
      </c:spPr>
    </c:plotArea>
    <c:legend>
      <c:legendPos val="b"/>
      <c:layout>
        <c:manualLayout>
          <c:xMode val="edge"/>
          <c:yMode val="edge"/>
          <c:x val="0.5771782046405477"/>
          <c:y val="0.22520852641334568"/>
          <c:w val="0.37447147204260173"/>
          <c:h val="0.69458704065215227"/>
        </c:manualLayout>
      </c:layout>
      <c:overlay val="0"/>
      <c:spPr>
        <a:noFill/>
        <a:ln>
          <a:noFill/>
        </a:ln>
        <a:effectLst/>
      </c:spPr>
      <c:txPr>
        <a:bodyPr rot="0" spcFirstLastPara="1" vertOverflow="ellipsis" vert="horz" wrap="square" anchor="ctr" anchorCtr="1"/>
        <a:lstStyle/>
        <a:p>
          <a:pPr rtl="0">
            <a:defRPr sz="105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260" b="1" i="0" u="none" strike="noStrike" kern="1200" spc="0" baseline="0">
                <a:solidFill>
                  <a:sysClr val="windowText" lastClr="000000">
                    <a:lumMod val="65000"/>
                    <a:lumOff val="35000"/>
                  </a:sysClr>
                </a:solidFill>
                <a:latin typeface="+mn-lt"/>
                <a:ea typeface="+mn-ea"/>
                <a:cs typeface="+mn-cs"/>
              </a:defRPr>
            </a:pPr>
            <a:r>
              <a:rPr lang="en-US" sz="1260" b="1" i="0" u="none" strike="noStrike" kern="1200" spc="0" baseline="0">
                <a:solidFill>
                  <a:sysClr val="windowText" lastClr="000000">
                    <a:lumMod val="65000"/>
                    <a:lumOff val="35000"/>
                  </a:sysClr>
                </a:solidFill>
                <a:latin typeface="+mn-lt"/>
                <a:ea typeface="+mn-ea"/>
                <a:cs typeface="+mn-cs"/>
              </a:rPr>
              <a:t>Growth in UK services exports to EU &amp; non-EU countries </a:t>
            </a:r>
          </a:p>
          <a:p>
            <a:pPr algn="ctr" rtl="0">
              <a:defRPr lang="en-US" sz="1260" b="1">
                <a:solidFill>
                  <a:sysClr val="windowText" lastClr="000000">
                    <a:lumMod val="65000"/>
                    <a:lumOff val="35000"/>
                  </a:sysClr>
                </a:solidFill>
              </a:defRPr>
            </a:pPr>
            <a:r>
              <a:rPr lang="en-US" sz="1260" b="1" i="0" u="none" strike="noStrike" kern="1200" spc="0" baseline="0">
                <a:solidFill>
                  <a:sysClr val="windowText" lastClr="000000">
                    <a:lumMod val="65000"/>
                    <a:lumOff val="35000"/>
                  </a:sysClr>
                </a:solidFill>
                <a:latin typeface="+mn-lt"/>
                <a:ea typeface="+mn-ea"/>
                <a:cs typeface="+mn-cs"/>
              </a:rPr>
              <a:t>(real prices) : 1998 – 2017</a:t>
            </a:r>
          </a:p>
        </c:rich>
      </c:tx>
      <c:layout>
        <c:manualLayout>
          <c:xMode val="edge"/>
          <c:yMode val="edge"/>
          <c:x val="0.12769365750646208"/>
          <c:y val="3.6620054578039067E-2"/>
        </c:manualLayout>
      </c:layout>
      <c:overlay val="0"/>
      <c:spPr>
        <a:noFill/>
        <a:ln>
          <a:noFill/>
        </a:ln>
        <a:effectLst/>
      </c:spPr>
      <c:txPr>
        <a:bodyPr rot="0" spcFirstLastPara="1" vertOverflow="ellipsis" vert="horz" wrap="square" anchor="ctr" anchorCtr="1"/>
        <a:lstStyle/>
        <a:p>
          <a:pPr algn="ctr" rtl="0">
            <a:defRPr lang="en-US" sz="126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8.8263671730579779E-2"/>
          <c:y val="0.24508109530171132"/>
          <c:w val="0.88396789277130183"/>
          <c:h val="0.60285884604476503"/>
        </c:manualLayout>
      </c:layout>
      <c:barChart>
        <c:barDir val="col"/>
        <c:grouping val="clustered"/>
        <c:varyColors val="0"/>
        <c:ser>
          <c:idx val="0"/>
          <c:order val="0"/>
          <c:tx>
            <c:strRef>
              <c:f>'2. Trade in Services'!$H$101</c:f>
              <c:strCache>
                <c:ptCount val="1"/>
                <c:pt idx="0">
                  <c:v> EU</c:v>
                </c:pt>
              </c:strCache>
            </c:strRef>
          </c:tx>
          <c:spPr>
            <a:solidFill>
              <a:srgbClr val="C00000"/>
            </a:solidFill>
            <a:ln w="19050">
              <a:solidFill>
                <a:srgbClr val="990000"/>
              </a:solidFill>
            </a:ln>
            <a:effectLst/>
          </c:spPr>
          <c:invertIfNegative val="0"/>
          <c:dLbls>
            <c:dLbl>
              <c:idx val="1"/>
              <c:layout>
                <c:manualLayout>
                  <c:x val="-7.7137963084956586E-17"/>
                  <c:y val="0.1275691330698969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4A-4E73-88D3-0B810501180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Services'!$G$102:$G$103</c:f>
              <c:strCache>
                <c:ptCount val="2"/>
                <c:pt idx="0">
                  <c:v>Exports</c:v>
                </c:pt>
                <c:pt idx="1">
                  <c:v>Imports</c:v>
                </c:pt>
              </c:strCache>
            </c:strRef>
          </c:cat>
          <c:val>
            <c:numRef>
              <c:f>'2. Trade in Services'!$H$102:$H$103</c:f>
              <c:numCache>
                <c:formatCode>0.0%</c:formatCode>
                <c:ptCount val="2"/>
                <c:pt idx="0">
                  <c:v>1.2504505785334499</c:v>
                </c:pt>
                <c:pt idx="1">
                  <c:v>0.60720402842028876</c:v>
                </c:pt>
              </c:numCache>
            </c:numRef>
          </c:val>
          <c:extLst>
            <c:ext xmlns:c16="http://schemas.microsoft.com/office/drawing/2014/chart" uri="{C3380CC4-5D6E-409C-BE32-E72D297353CC}">
              <c16:uniqueId val="{00000000-DDA0-4131-BB48-F3FAB4A31EF4}"/>
            </c:ext>
          </c:extLst>
        </c:ser>
        <c:ser>
          <c:idx val="1"/>
          <c:order val="1"/>
          <c:tx>
            <c:strRef>
              <c:f>'2. Trade in Services'!$I$101</c:f>
              <c:strCache>
                <c:ptCount val="1"/>
                <c:pt idx="0">
                  <c:v> Non-EU</c:v>
                </c:pt>
              </c:strCache>
            </c:strRef>
          </c:tx>
          <c:spPr>
            <a:solidFill>
              <a:srgbClr val="002060"/>
            </a:solidFill>
            <a:ln w="12700">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Services'!$G$102:$G$103</c:f>
              <c:strCache>
                <c:ptCount val="2"/>
                <c:pt idx="0">
                  <c:v>Exports</c:v>
                </c:pt>
                <c:pt idx="1">
                  <c:v>Imports</c:v>
                </c:pt>
              </c:strCache>
            </c:strRef>
          </c:cat>
          <c:val>
            <c:numRef>
              <c:f>'2. Trade in Services'!$I$102:$I$103</c:f>
              <c:numCache>
                <c:formatCode>0.0%</c:formatCode>
                <c:ptCount val="2"/>
                <c:pt idx="0">
                  <c:v>1.3823817447454749</c:v>
                </c:pt>
                <c:pt idx="1">
                  <c:v>1.0949791415421026</c:v>
                </c:pt>
              </c:numCache>
            </c:numRef>
          </c:val>
          <c:extLst>
            <c:ext xmlns:c16="http://schemas.microsoft.com/office/drawing/2014/chart" uri="{C3380CC4-5D6E-409C-BE32-E72D297353CC}">
              <c16:uniqueId val="{00000001-DDA0-4131-BB48-F3FAB4A31EF4}"/>
            </c:ext>
          </c:extLst>
        </c:ser>
        <c:dLbls>
          <c:dLblPos val="inEnd"/>
          <c:showLegendKey val="0"/>
          <c:showVal val="1"/>
          <c:showCatName val="0"/>
          <c:showSerName val="0"/>
          <c:showPercent val="0"/>
          <c:showBubbleSize val="0"/>
        </c:dLbls>
        <c:gapWidth val="123"/>
        <c:overlap val="-33"/>
        <c:axId val="509372024"/>
        <c:axId val="509372352"/>
      </c:barChart>
      <c:catAx>
        <c:axId val="509372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09372352"/>
        <c:crosses val="autoZero"/>
        <c:auto val="1"/>
        <c:lblAlgn val="ctr"/>
        <c:lblOffset val="100"/>
        <c:noMultiLvlLbl val="0"/>
      </c:catAx>
      <c:valAx>
        <c:axId val="509372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37202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635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46.xml"/><Relationship Id="rId3" Type="http://schemas.openxmlformats.org/officeDocument/2006/relationships/chart" Target="../charts/chart41.xml"/><Relationship Id="rId7" Type="http://schemas.openxmlformats.org/officeDocument/2006/relationships/chart" Target="../charts/chart45.xml"/><Relationship Id="rId2" Type="http://schemas.openxmlformats.org/officeDocument/2006/relationships/chart" Target="../charts/chart40.xml"/><Relationship Id="rId1" Type="http://schemas.openxmlformats.org/officeDocument/2006/relationships/chart" Target="../charts/chart39.xml"/><Relationship Id="rId6" Type="http://schemas.openxmlformats.org/officeDocument/2006/relationships/chart" Target="../charts/chart44.xml"/><Relationship Id="rId5" Type="http://schemas.openxmlformats.org/officeDocument/2006/relationships/chart" Target="../charts/chart43.xml"/><Relationship Id="rId10" Type="http://schemas.openxmlformats.org/officeDocument/2006/relationships/chart" Target="../charts/chart48.xml"/><Relationship Id="rId4" Type="http://schemas.openxmlformats.org/officeDocument/2006/relationships/chart" Target="../charts/chart42.xml"/><Relationship Id="rId9" Type="http://schemas.openxmlformats.org/officeDocument/2006/relationships/chart" Target="../charts/chart4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7.xml.rels><?xml version="1.0" encoding="UTF-8" standalone="yes"?>
<Relationships xmlns="http://schemas.openxmlformats.org/package/2006/relationships"><Relationship Id="rId8" Type="http://schemas.openxmlformats.org/officeDocument/2006/relationships/chart" Target="../charts/chart16.xml"/><Relationship Id="rId13" Type="http://schemas.openxmlformats.org/officeDocument/2006/relationships/chart" Target="../charts/chart21.xml"/><Relationship Id="rId3" Type="http://schemas.openxmlformats.org/officeDocument/2006/relationships/chart" Target="../charts/chart11.xml"/><Relationship Id="rId7" Type="http://schemas.openxmlformats.org/officeDocument/2006/relationships/chart" Target="../charts/chart15.xml"/><Relationship Id="rId12" Type="http://schemas.openxmlformats.org/officeDocument/2006/relationships/chart" Target="../charts/chart20.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11" Type="http://schemas.openxmlformats.org/officeDocument/2006/relationships/chart" Target="../charts/chart19.xml"/><Relationship Id="rId5" Type="http://schemas.openxmlformats.org/officeDocument/2006/relationships/chart" Target="../charts/chart13.xml"/><Relationship Id="rId10" Type="http://schemas.openxmlformats.org/officeDocument/2006/relationships/chart" Target="../charts/chart18.xml"/><Relationship Id="rId4" Type="http://schemas.openxmlformats.org/officeDocument/2006/relationships/chart" Target="../charts/chart12.xml"/><Relationship Id="rId9"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8" Type="http://schemas.openxmlformats.org/officeDocument/2006/relationships/chart" Target="../charts/chart29.xml"/><Relationship Id="rId13" Type="http://schemas.openxmlformats.org/officeDocument/2006/relationships/chart" Target="../charts/chart34.xml"/><Relationship Id="rId3" Type="http://schemas.openxmlformats.org/officeDocument/2006/relationships/chart" Target="../charts/chart24.xml"/><Relationship Id="rId7" Type="http://schemas.openxmlformats.org/officeDocument/2006/relationships/chart" Target="../charts/chart28.xml"/><Relationship Id="rId12" Type="http://schemas.openxmlformats.org/officeDocument/2006/relationships/chart" Target="../charts/chart33.xml"/><Relationship Id="rId17" Type="http://schemas.openxmlformats.org/officeDocument/2006/relationships/chart" Target="../charts/chart38.xml"/><Relationship Id="rId2" Type="http://schemas.openxmlformats.org/officeDocument/2006/relationships/chart" Target="../charts/chart23.xml"/><Relationship Id="rId16" Type="http://schemas.openxmlformats.org/officeDocument/2006/relationships/chart" Target="../charts/chart37.xml"/><Relationship Id="rId1" Type="http://schemas.openxmlformats.org/officeDocument/2006/relationships/chart" Target="../charts/chart22.xml"/><Relationship Id="rId6" Type="http://schemas.openxmlformats.org/officeDocument/2006/relationships/chart" Target="../charts/chart27.xml"/><Relationship Id="rId11" Type="http://schemas.openxmlformats.org/officeDocument/2006/relationships/chart" Target="../charts/chart32.xml"/><Relationship Id="rId5" Type="http://schemas.openxmlformats.org/officeDocument/2006/relationships/chart" Target="../charts/chart26.xml"/><Relationship Id="rId15" Type="http://schemas.openxmlformats.org/officeDocument/2006/relationships/chart" Target="../charts/chart36.xml"/><Relationship Id="rId10" Type="http://schemas.openxmlformats.org/officeDocument/2006/relationships/chart" Target="../charts/chart31.xml"/><Relationship Id="rId4" Type="http://schemas.openxmlformats.org/officeDocument/2006/relationships/chart" Target="../charts/chart25.xml"/><Relationship Id="rId9" Type="http://schemas.openxmlformats.org/officeDocument/2006/relationships/chart" Target="../charts/chart30.xml"/><Relationship Id="rId14"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0</xdr:col>
      <xdr:colOff>386031</xdr:colOff>
      <xdr:row>11</xdr:row>
      <xdr:rowOff>1295</xdr:rowOff>
    </xdr:from>
    <xdr:to>
      <xdr:col>3</xdr:col>
      <xdr:colOff>218391</xdr:colOff>
      <xdr:row>24</xdr:row>
      <xdr:rowOff>63152</xdr:rowOff>
    </xdr:to>
    <xdr:graphicFrame macro="">
      <xdr:nvGraphicFramePr>
        <xdr:cNvPr id="21" name="Chart 20">
          <a:extLst>
            <a:ext uri="{FF2B5EF4-FFF2-40B4-BE49-F238E27FC236}">
              <a16:creationId xmlns:a16="http://schemas.microsoft.com/office/drawing/2014/main" id="{220B82E3-3AA8-46D6-9F2E-78590AF783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15241</xdr:colOff>
      <xdr:row>11</xdr:row>
      <xdr:rowOff>3387</xdr:rowOff>
    </xdr:from>
    <xdr:to>
      <xdr:col>10</xdr:col>
      <xdr:colOff>1</xdr:colOff>
      <xdr:row>24</xdr:row>
      <xdr:rowOff>56726</xdr:rowOff>
    </xdr:to>
    <xdr:graphicFrame macro="">
      <xdr:nvGraphicFramePr>
        <xdr:cNvPr id="22" name="Chart 21">
          <a:extLst>
            <a:ext uri="{FF2B5EF4-FFF2-40B4-BE49-F238E27FC236}">
              <a16:creationId xmlns:a16="http://schemas.microsoft.com/office/drawing/2014/main" id="{2E7CEFF9-7A9C-4FCD-8C24-872090493D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1103206</xdr:colOff>
      <xdr:row>40</xdr:row>
      <xdr:rowOff>0</xdr:rowOff>
    </xdr:from>
    <xdr:to>
      <xdr:col>10</xdr:col>
      <xdr:colOff>0</xdr:colOff>
      <xdr:row>46</xdr:row>
      <xdr:rowOff>0</xdr:rowOff>
    </xdr:to>
    <xdr:graphicFrame macro="">
      <xdr:nvGraphicFramePr>
        <xdr:cNvPr id="3" name="Chart 2">
          <a:extLst>
            <a:ext uri="{FF2B5EF4-FFF2-40B4-BE49-F238E27FC236}">
              <a16:creationId xmlns:a16="http://schemas.microsoft.com/office/drawing/2014/main" id="{9C5CAB1B-367E-48CE-9D37-41C98866B5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47</xdr:row>
      <xdr:rowOff>7620</xdr:rowOff>
    </xdr:from>
    <xdr:to>
      <xdr:col>9</xdr:col>
      <xdr:colOff>556260</xdr:colOff>
      <xdr:row>54</xdr:row>
      <xdr:rowOff>15240</xdr:rowOff>
    </xdr:to>
    <xdr:graphicFrame macro="">
      <xdr:nvGraphicFramePr>
        <xdr:cNvPr id="23" name="Chart 22">
          <a:extLst>
            <a:ext uri="{FF2B5EF4-FFF2-40B4-BE49-F238E27FC236}">
              <a16:creationId xmlns:a16="http://schemas.microsoft.com/office/drawing/2014/main" id="{35133C44-D5A2-44D0-962D-06A14EC037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7620</xdr:colOff>
      <xdr:row>55</xdr:row>
      <xdr:rowOff>213360</xdr:rowOff>
    </xdr:from>
    <xdr:to>
      <xdr:col>9</xdr:col>
      <xdr:colOff>411480</xdr:colOff>
      <xdr:row>66</xdr:row>
      <xdr:rowOff>144780</xdr:rowOff>
    </xdr:to>
    <xdr:graphicFrame macro="">
      <xdr:nvGraphicFramePr>
        <xdr:cNvPr id="8" name="Chart 7">
          <a:extLst>
            <a:ext uri="{FF2B5EF4-FFF2-40B4-BE49-F238E27FC236}">
              <a16:creationId xmlns:a16="http://schemas.microsoft.com/office/drawing/2014/main" id="{4A338A64-B48C-4938-84FF-1A735AB25C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1104052</xdr:colOff>
      <xdr:row>68</xdr:row>
      <xdr:rowOff>2540</xdr:rowOff>
    </xdr:from>
    <xdr:to>
      <xdr:col>9</xdr:col>
      <xdr:colOff>411480</xdr:colOff>
      <xdr:row>78</xdr:row>
      <xdr:rowOff>53340</xdr:rowOff>
    </xdr:to>
    <xdr:graphicFrame macro="">
      <xdr:nvGraphicFramePr>
        <xdr:cNvPr id="9" name="Chart 8">
          <a:extLst>
            <a:ext uri="{FF2B5EF4-FFF2-40B4-BE49-F238E27FC236}">
              <a16:creationId xmlns:a16="http://schemas.microsoft.com/office/drawing/2014/main" id="{DCA29A9E-35AC-4A1D-9507-F8977F7696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79</xdr:row>
      <xdr:rowOff>7620</xdr:rowOff>
    </xdr:from>
    <xdr:to>
      <xdr:col>9</xdr:col>
      <xdr:colOff>434340</xdr:colOff>
      <xdr:row>95</xdr:row>
      <xdr:rowOff>167640</xdr:rowOff>
    </xdr:to>
    <xdr:graphicFrame macro="">
      <xdr:nvGraphicFramePr>
        <xdr:cNvPr id="2" name="Chart 1">
          <a:extLst>
            <a:ext uri="{FF2B5EF4-FFF2-40B4-BE49-F238E27FC236}">
              <a16:creationId xmlns:a16="http://schemas.microsoft.com/office/drawing/2014/main" id="{C3455A30-A94B-4046-9F8E-CC3C6F7A80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3810</xdr:colOff>
      <xdr:row>25</xdr:row>
      <xdr:rowOff>5443</xdr:rowOff>
    </xdr:from>
    <xdr:to>
      <xdr:col>9</xdr:col>
      <xdr:colOff>593558</xdr:colOff>
      <xdr:row>38</xdr:row>
      <xdr:rowOff>72934</xdr:rowOff>
    </xdr:to>
    <xdr:graphicFrame macro="">
      <xdr:nvGraphicFramePr>
        <xdr:cNvPr id="4" name="Chart 3">
          <a:extLst>
            <a:ext uri="{FF2B5EF4-FFF2-40B4-BE49-F238E27FC236}">
              <a16:creationId xmlns:a16="http://schemas.microsoft.com/office/drawing/2014/main" id="{151481C3-0016-4907-846A-DAC0E35005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297180</xdr:colOff>
      <xdr:row>7</xdr:row>
      <xdr:rowOff>99060</xdr:rowOff>
    </xdr:from>
    <xdr:to>
      <xdr:col>11</xdr:col>
      <xdr:colOff>190500</xdr:colOff>
      <xdr:row>10</xdr:row>
      <xdr:rowOff>0</xdr:rowOff>
    </xdr:to>
    <xdr:sp macro="" textlink="">
      <xdr:nvSpPr>
        <xdr:cNvPr id="3" name="Right Triangle 2">
          <a:extLst>
            <a:ext uri="{FF2B5EF4-FFF2-40B4-BE49-F238E27FC236}">
              <a16:creationId xmlns:a16="http://schemas.microsoft.com/office/drawing/2014/main" id="{3D4AE888-6879-471E-AE97-0BB64D18AC91}"/>
            </a:ext>
          </a:extLst>
        </xdr:cNvPr>
        <xdr:cNvSpPr/>
      </xdr:nvSpPr>
      <xdr:spPr>
        <a:xfrm flipV="1">
          <a:off x="9845040" y="7970520"/>
          <a:ext cx="2240280" cy="1767840"/>
        </a:xfrm>
        <a:prstGeom prst="rtTriangle">
          <a:avLst/>
        </a:prstGeom>
        <a:noFill/>
        <a:ln>
          <a:solidFill>
            <a:schemeClr val="bg1">
              <a:lumMod val="85000"/>
              <a:alpha val="0"/>
            </a:schemeClr>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AU" sz="1100"/>
        </a:p>
      </xdr:txBody>
    </xdr:sp>
    <xdr:clientData/>
  </xdr:twoCellAnchor>
  <xdr:twoCellAnchor>
    <xdr:from>
      <xdr:col>5</xdr:col>
      <xdr:colOff>8466</xdr:colOff>
      <xdr:row>29</xdr:row>
      <xdr:rowOff>7620</xdr:rowOff>
    </xdr:from>
    <xdr:to>
      <xdr:col>10</xdr:col>
      <xdr:colOff>16933</xdr:colOff>
      <xdr:row>44</xdr:row>
      <xdr:rowOff>22860</xdr:rowOff>
    </xdr:to>
    <xdr:graphicFrame macro="">
      <xdr:nvGraphicFramePr>
        <xdr:cNvPr id="11" name="Chart 10">
          <a:extLst>
            <a:ext uri="{FF2B5EF4-FFF2-40B4-BE49-F238E27FC236}">
              <a16:creationId xmlns:a16="http://schemas.microsoft.com/office/drawing/2014/main" id="{6955DEC8-19CA-4B96-A850-A010D50587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8467</xdr:colOff>
      <xdr:row>73</xdr:row>
      <xdr:rowOff>193192</xdr:rowOff>
    </xdr:from>
    <xdr:to>
      <xdr:col>10</xdr:col>
      <xdr:colOff>8466</xdr:colOff>
      <xdr:row>84</xdr:row>
      <xdr:rowOff>148087</xdr:rowOff>
    </xdr:to>
    <xdr:graphicFrame macro="">
      <xdr:nvGraphicFramePr>
        <xdr:cNvPr id="12" name="Chart 11">
          <a:extLst>
            <a:ext uri="{FF2B5EF4-FFF2-40B4-BE49-F238E27FC236}">
              <a16:creationId xmlns:a16="http://schemas.microsoft.com/office/drawing/2014/main" id="{94E0A99F-5AC9-4B0B-BE40-F7AAF9208E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866775</xdr:colOff>
      <xdr:row>85</xdr:row>
      <xdr:rowOff>1691</xdr:rowOff>
    </xdr:from>
    <xdr:to>
      <xdr:col>10</xdr:col>
      <xdr:colOff>53339</xdr:colOff>
      <xdr:row>91</xdr:row>
      <xdr:rowOff>237067</xdr:rowOff>
    </xdr:to>
    <xdr:graphicFrame macro="">
      <xdr:nvGraphicFramePr>
        <xdr:cNvPr id="13" name="Chart 12">
          <a:extLst>
            <a:ext uri="{FF2B5EF4-FFF2-40B4-BE49-F238E27FC236}">
              <a16:creationId xmlns:a16="http://schemas.microsoft.com/office/drawing/2014/main" id="{9D3C5EB7-C4B4-48C4-B716-9523601B26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45721</xdr:colOff>
      <xdr:row>108</xdr:row>
      <xdr:rowOff>68580</xdr:rowOff>
    </xdr:from>
    <xdr:to>
      <xdr:col>10</xdr:col>
      <xdr:colOff>16933</xdr:colOff>
      <xdr:row>121</xdr:row>
      <xdr:rowOff>76200</xdr:rowOff>
    </xdr:to>
    <xdr:graphicFrame macro="">
      <xdr:nvGraphicFramePr>
        <xdr:cNvPr id="14" name="Chart 13">
          <a:extLst>
            <a:ext uri="{FF2B5EF4-FFF2-40B4-BE49-F238E27FC236}">
              <a16:creationId xmlns:a16="http://schemas.microsoft.com/office/drawing/2014/main" id="{E1965531-3BF0-404A-B46F-CF13DE3930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220980</xdr:colOff>
      <xdr:row>126</xdr:row>
      <xdr:rowOff>0</xdr:rowOff>
    </xdr:from>
    <xdr:to>
      <xdr:col>7</xdr:col>
      <xdr:colOff>304800</xdr:colOff>
      <xdr:row>140</xdr:row>
      <xdr:rowOff>121920</xdr:rowOff>
    </xdr:to>
    <xdr:graphicFrame macro="">
      <xdr:nvGraphicFramePr>
        <xdr:cNvPr id="15" name="Chart 14">
          <a:extLst>
            <a:ext uri="{FF2B5EF4-FFF2-40B4-BE49-F238E27FC236}">
              <a16:creationId xmlns:a16="http://schemas.microsoft.com/office/drawing/2014/main" id="{198081E6-3256-413F-98E7-90302EEA64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419100</xdr:colOff>
      <xdr:row>125</xdr:row>
      <xdr:rowOff>160867</xdr:rowOff>
    </xdr:from>
    <xdr:to>
      <xdr:col>21</xdr:col>
      <xdr:colOff>464820</xdr:colOff>
      <xdr:row>140</xdr:row>
      <xdr:rowOff>121920</xdr:rowOff>
    </xdr:to>
    <xdr:graphicFrame macro="">
      <xdr:nvGraphicFramePr>
        <xdr:cNvPr id="16" name="Chart 15">
          <a:extLst>
            <a:ext uri="{FF2B5EF4-FFF2-40B4-BE49-F238E27FC236}">
              <a16:creationId xmlns:a16="http://schemas.microsoft.com/office/drawing/2014/main" id="{2B89B333-5CAD-49BF-9EE4-BB4CA1FB96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101600</xdr:colOff>
      <xdr:row>74</xdr:row>
      <xdr:rowOff>8467</xdr:rowOff>
    </xdr:from>
    <xdr:to>
      <xdr:col>3</xdr:col>
      <xdr:colOff>719666</xdr:colOff>
      <xdr:row>84</xdr:row>
      <xdr:rowOff>121919</xdr:rowOff>
    </xdr:to>
    <xdr:graphicFrame macro="">
      <xdr:nvGraphicFramePr>
        <xdr:cNvPr id="18" name="Chart 17">
          <a:extLst>
            <a:ext uri="{FF2B5EF4-FFF2-40B4-BE49-F238E27FC236}">
              <a16:creationId xmlns:a16="http://schemas.microsoft.com/office/drawing/2014/main" id="{ADEC83F3-8843-4D88-A8D5-7B7D7735A2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7620</xdr:colOff>
      <xdr:row>44</xdr:row>
      <xdr:rowOff>175260</xdr:rowOff>
    </xdr:from>
    <xdr:to>
      <xdr:col>10</xdr:col>
      <xdr:colOff>24554</xdr:colOff>
      <xdr:row>59</xdr:row>
      <xdr:rowOff>3386</xdr:rowOff>
    </xdr:to>
    <xdr:graphicFrame macro="">
      <xdr:nvGraphicFramePr>
        <xdr:cNvPr id="19" name="Chart 18">
          <a:extLst>
            <a:ext uri="{FF2B5EF4-FFF2-40B4-BE49-F238E27FC236}">
              <a16:creationId xmlns:a16="http://schemas.microsoft.com/office/drawing/2014/main" id="{E4D69FC3-C301-44A0-9BB7-A987432571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873993</xdr:colOff>
      <xdr:row>92</xdr:row>
      <xdr:rowOff>135466</xdr:rowOff>
    </xdr:from>
    <xdr:to>
      <xdr:col>10</xdr:col>
      <xdr:colOff>0</xdr:colOff>
      <xdr:row>100</xdr:row>
      <xdr:rowOff>16933</xdr:rowOff>
    </xdr:to>
    <xdr:graphicFrame macro="">
      <xdr:nvGraphicFramePr>
        <xdr:cNvPr id="20" name="Chart 19">
          <a:extLst>
            <a:ext uri="{FF2B5EF4-FFF2-40B4-BE49-F238E27FC236}">
              <a16:creationId xmlns:a16="http://schemas.microsoft.com/office/drawing/2014/main" id="{97AFEB6D-8FB3-4CC6-8A21-A1A2F734F3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264160</xdr:colOff>
      <xdr:row>6</xdr:row>
      <xdr:rowOff>6774</xdr:rowOff>
    </xdr:from>
    <xdr:to>
      <xdr:col>14</xdr:col>
      <xdr:colOff>8467</xdr:colOff>
      <xdr:row>21</xdr:row>
      <xdr:rowOff>0</xdr:rowOff>
    </xdr:to>
    <xdr:grpSp>
      <xdr:nvGrpSpPr>
        <xdr:cNvPr id="22" name="Group 21">
          <a:extLst>
            <a:ext uri="{FF2B5EF4-FFF2-40B4-BE49-F238E27FC236}">
              <a16:creationId xmlns:a16="http://schemas.microsoft.com/office/drawing/2014/main" id="{212521AE-8495-4BE8-B006-9BE507CD8A3C}"/>
            </a:ext>
          </a:extLst>
        </xdr:cNvPr>
        <xdr:cNvGrpSpPr/>
      </xdr:nvGrpSpPr>
      <xdr:grpSpPr>
        <a:xfrm>
          <a:off x="5843693" y="3241041"/>
          <a:ext cx="8888307" cy="2795692"/>
          <a:chOff x="6075680" y="440528"/>
          <a:chExt cx="8443807" cy="2887980"/>
        </a:xfrm>
      </xdr:grpSpPr>
      <xdr:graphicFrame macro="">
        <xdr:nvGraphicFramePr>
          <xdr:cNvPr id="25" name="Chart 24">
            <a:extLst>
              <a:ext uri="{FF2B5EF4-FFF2-40B4-BE49-F238E27FC236}">
                <a16:creationId xmlns:a16="http://schemas.microsoft.com/office/drawing/2014/main" id="{A64FB13D-5F03-4D3F-B080-0096699EB238}"/>
              </a:ext>
            </a:extLst>
          </xdr:cNvPr>
          <xdr:cNvGraphicFramePr>
            <a:graphicFrameLocks/>
          </xdr:cNvGraphicFramePr>
        </xdr:nvGraphicFramePr>
        <xdr:xfrm>
          <a:off x="6075680" y="440528"/>
          <a:ext cx="8443807" cy="2887980"/>
        </xdr:xfrm>
        <a:graphic>
          <a:graphicData uri="http://schemas.openxmlformats.org/drawingml/2006/chart">
            <c:chart xmlns:c="http://schemas.openxmlformats.org/drawingml/2006/chart" xmlns:r="http://schemas.openxmlformats.org/officeDocument/2006/relationships" r:id="rId10"/>
          </a:graphicData>
        </a:graphic>
      </xdr:graphicFrame>
      <xdr:sp macro="" textlink="">
        <xdr:nvSpPr>
          <xdr:cNvPr id="26" name="TextBox 25">
            <a:extLst>
              <a:ext uri="{FF2B5EF4-FFF2-40B4-BE49-F238E27FC236}">
                <a16:creationId xmlns:a16="http://schemas.microsoft.com/office/drawing/2014/main" id="{2DC77C3F-14CD-4E45-92CC-115AEDB8C041}"/>
              </a:ext>
            </a:extLst>
          </xdr:cNvPr>
          <xdr:cNvSpPr txBox="1"/>
        </xdr:nvSpPr>
        <xdr:spPr>
          <a:xfrm>
            <a:off x="12755457" y="1062221"/>
            <a:ext cx="846666" cy="414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i="0" u="none" strike="noStrike" kern="1200" baseline="0">
                <a:solidFill>
                  <a:schemeClr val="tx1">
                    <a:lumMod val="65000"/>
                    <a:lumOff val="35000"/>
                  </a:schemeClr>
                </a:solidFill>
                <a:latin typeface="+mn-lt"/>
                <a:ea typeface="+mn-ea"/>
                <a:cs typeface="+mn-cs"/>
              </a:rPr>
              <a:t>£128.9 bn</a:t>
            </a:r>
          </a:p>
        </xdr:txBody>
      </xdr:sp>
    </xdr:grpSp>
    <xdr:clientData/>
  </xdr:twoCellAnchor>
  <xdr:twoCellAnchor>
    <xdr:from>
      <xdr:col>12</xdr:col>
      <xdr:colOff>347134</xdr:colOff>
      <xdr:row>12</xdr:row>
      <xdr:rowOff>150707</xdr:rowOff>
    </xdr:from>
    <xdr:to>
      <xdr:col>13</xdr:col>
      <xdr:colOff>584199</xdr:colOff>
      <xdr:row>14</xdr:row>
      <xdr:rowOff>146176</xdr:rowOff>
    </xdr:to>
    <xdr:sp macro="" textlink="">
      <xdr:nvSpPr>
        <xdr:cNvPr id="27" name="TextBox 26">
          <a:extLst>
            <a:ext uri="{FF2B5EF4-FFF2-40B4-BE49-F238E27FC236}">
              <a16:creationId xmlns:a16="http://schemas.microsoft.com/office/drawing/2014/main" id="{3B41F825-CC7E-4B46-AB46-8A3E9EC43ADB}"/>
            </a:ext>
          </a:extLst>
        </xdr:cNvPr>
        <xdr:cNvSpPr txBox="1"/>
      </xdr:nvSpPr>
      <xdr:spPr>
        <a:xfrm>
          <a:off x="13478934" y="3952240"/>
          <a:ext cx="1032932" cy="3680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i="0" u="none" strike="noStrike" kern="1200" baseline="0">
              <a:solidFill>
                <a:schemeClr val="tx1">
                  <a:lumMod val="65000"/>
                  <a:lumOff val="35000"/>
                </a:schemeClr>
              </a:solidFill>
              <a:latin typeface="+mn-lt"/>
              <a:ea typeface="+mn-ea"/>
              <a:cs typeface="+mn-cs"/>
            </a:rPr>
            <a:t>£141.6 bn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160</xdr:row>
      <xdr:rowOff>0</xdr:rowOff>
    </xdr:from>
    <xdr:to>
      <xdr:col>5</xdr:col>
      <xdr:colOff>200660</xdr:colOff>
      <xdr:row>173</xdr:row>
      <xdr:rowOff>17830</xdr:rowOff>
    </xdr:to>
    <xdr:graphicFrame macro="">
      <xdr:nvGraphicFramePr>
        <xdr:cNvPr id="2" name="Chart 1">
          <a:extLst>
            <a:ext uri="{FF2B5EF4-FFF2-40B4-BE49-F238E27FC236}">
              <a16:creationId xmlns:a16="http://schemas.microsoft.com/office/drawing/2014/main" id="{0703C46A-8894-44D9-946A-0E27063C10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0.24239</cdr:x>
      <cdr:y>0.46361</cdr:y>
    </cdr:from>
    <cdr:to>
      <cdr:x>0.60609</cdr:x>
      <cdr:y>0.74972</cdr:y>
    </cdr:to>
    <cdr:grpSp>
      <cdr:nvGrpSpPr>
        <cdr:cNvPr id="5" name="Group 4">
          <a:extLst xmlns:a="http://schemas.openxmlformats.org/drawingml/2006/main">
            <a:ext uri="{FF2B5EF4-FFF2-40B4-BE49-F238E27FC236}">
              <a16:creationId xmlns:a16="http://schemas.microsoft.com/office/drawing/2014/main" id="{5533451B-5821-4453-8A3C-E3F9DD402201}"/>
            </a:ext>
          </a:extLst>
        </cdr:cNvPr>
        <cdr:cNvGrpSpPr/>
      </cdr:nvGrpSpPr>
      <cdr:grpSpPr>
        <a:xfrm xmlns:a="http://schemas.openxmlformats.org/drawingml/2006/main">
          <a:off x="1261509" y="1130882"/>
          <a:ext cx="1892862" cy="697908"/>
          <a:chOff x="995777" y="1254667"/>
          <a:chExt cx="1725935" cy="621582"/>
        </a:xfrm>
      </cdr:grpSpPr>
      <cdr:sp macro="" textlink="">
        <cdr:nvSpPr>
          <cdr:cNvPr id="3" name="Rectangle 2">
            <a:extLst xmlns:a="http://schemas.openxmlformats.org/drawingml/2006/main">
              <a:ext uri="{FF2B5EF4-FFF2-40B4-BE49-F238E27FC236}">
                <a16:creationId xmlns:a16="http://schemas.microsoft.com/office/drawing/2014/main" id="{B0203279-DECD-4765-BB87-7851DFBA7E26}"/>
              </a:ext>
            </a:extLst>
          </cdr:cNvPr>
          <cdr:cNvSpPr/>
        </cdr:nvSpPr>
        <cdr:spPr>
          <a:xfrm xmlns:a="http://schemas.openxmlformats.org/drawingml/2006/main">
            <a:off x="995777" y="1262921"/>
            <a:ext cx="1657934" cy="612738"/>
          </a:xfrm>
          <a:prstGeom xmlns:a="http://schemas.openxmlformats.org/drawingml/2006/main" prst="rect">
            <a:avLst/>
          </a:prstGeom>
          <a:noFill xmlns:a="http://schemas.openxmlformats.org/drawingml/2006/main"/>
          <a:ln xmlns:a="http://schemas.openxmlformats.org/drawingml/2006/main">
            <a:solidFill>
              <a:schemeClr val="tx1"/>
            </a:solidFill>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4" name="TextBox 3">
            <a:extLst xmlns:a="http://schemas.openxmlformats.org/drawingml/2006/main">
              <a:ext uri="{FF2B5EF4-FFF2-40B4-BE49-F238E27FC236}">
                <a16:creationId xmlns:a16="http://schemas.microsoft.com/office/drawing/2014/main" id="{63726559-20E5-49A6-9C94-4392DF034475}"/>
              </a:ext>
            </a:extLst>
          </cdr:cNvPr>
          <cdr:cNvSpPr txBox="1"/>
        </cdr:nvSpPr>
        <cdr:spPr>
          <a:xfrm xmlns:a="http://schemas.openxmlformats.org/drawingml/2006/main">
            <a:off x="1851498" y="1254667"/>
            <a:ext cx="870214" cy="6215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solidFill>
                  <a:schemeClr val="tx1">
                    <a:lumMod val="85000"/>
                    <a:lumOff val="15000"/>
                  </a:schemeClr>
                </a:solidFill>
              </a:rPr>
              <a:t>Subject to Brexit negotiations</a:t>
            </a:r>
          </a:p>
        </cdr:txBody>
      </cdr:sp>
    </cdr:grpSp>
  </cdr:relSizeAnchor>
</c:userShapes>
</file>

<file path=xl/drawings/drawing2.xml><?xml version="1.0" encoding="utf-8"?>
<c:userShapes xmlns:c="http://schemas.openxmlformats.org/drawingml/2006/chart">
  <cdr:relSizeAnchor xmlns:cdr="http://schemas.openxmlformats.org/drawingml/2006/chartDrawing">
    <cdr:from>
      <cdr:x>0.21213</cdr:x>
      <cdr:y>0.48367</cdr:y>
    </cdr:from>
    <cdr:to>
      <cdr:x>0.55924</cdr:x>
      <cdr:y>0.78356</cdr:y>
    </cdr:to>
    <cdr:grpSp>
      <cdr:nvGrpSpPr>
        <cdr:cNvPr id="5" name="Group 4">
          <a:extLst xmlns:a="http://schemas.openxmlformats.org/drawingml/2006/main">
            <a:ext uri="{FF2B5EF4-FFF2-40B4-BE49-F238E27FC236}">
              <a16:creationId xmlns:a16="http://schemas.microsoft.com/office/drawing/2014/main" id="{5533451B-5821-4453-8A3C-E3F9DD402201}"/>
            </a:ext>
          </a:extLst>
        </cdr:cNvPr>
        <cdr:cNvGrpSpPr/>
      </cdr:nvGrpSpPr>
      <cdr:grpSpPr>
        <a:xfrm xmlns:a="http://schemas.openxmlformats.org/drawingml/2006/main">
          <a:off x="1104447" y="1189902"/>
          <a:ext cx="1807216" cy="737775"/>
          <a:chOff x="988156" y="1232282"/>
          <a:chExt cx="1657934" cy="696991"/>
        </a:xfrm>
      </cdr:grpSpPr>
      <cdr:sp macro="" textlink="">
        <cdr:nvSpPr>
          <cdr:cNvPr id="3" name="Rectangle 2">
            <a:extLst xmlns:a="http://schemas.openxmlformats.org/drawingml/2006/main">
              <a:ext uri="{FF2B5EF4-FFF2-40B4-BE49-F238E27FC236}">
                <a16:creationId xmlns:a16="http://schemas.microsoft.com/office/drawing/2014/main" id="{B0203279-DECD-4765-BB87-7851DFBA7E26}"/>
              </a:ext>
            </a:extLst>
          </cdr:cNvPr>
          <cdr:cNvSpPr/>
        </cdr:nvSpPr>
        <cdr:spPr>
          <a:xfrm xmlns:a="http://schemas.openxmlformats.org/drawingml/2006/main">
            <a:off x="995777" y="1262921"/>
            <a:ext cx="1657934" cy="612738"/>
          </a:xfrm>
          <a:prstGeom xmlns:a="http://schemas.openxmlformats.org/drawingml/2006/main" prst="rect">
            <a:avLst/>
          </a:prstGeom>
          <a:noFill xmlns:a="http://schemas.openxmlformats.org/drawingml/2006/main"/>
          <a:ln xmlns:a="http://schemas.openxmlformats.org/drawingml/2006/main">
            <a:solidFill>
              <a:schemeClr val="tx1"/>
            </a:solidFill>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4" name="TextBox 3">
            <a:extLst xmlns:a="http://schemas.openxmlformats.org/drawingml/2006/main">
              <a:ext uri="{FF2B5EF4-FFF2-40B4-BE49-F238E27FC236}">
                <a16:creationId xmlns:a16="http://schemas.microsoft.com/office/drawing/2014/main" id="{63726559-20E5-49A6-9C94-4392DF034475}"/>
              </a:ext>
            </a:extLst>
          </cdr:cNvPr>
          <cdr:cNvSpPr txBox="1"/>
        </cdr:nvSpPr>
        <cdr:spPr>
          <a:xfrm xmlns:a="http://schemas.openxmlformats.org/drawingml/2006/main">
            <a:off x="1982500" y="1254667"/>
            <a:ext cx="739212" cy="6215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solidFill>
                  <a:schemeClr val="tx1">
                    <a:lumMod val="85000"/>
                    <a:lumOff val="15000"/>
                  </a:schemeClr>
                </a:solidFill>
              </a:rPr>
              <a:t>The EU Customs</a:t>
            </a:r>
            <a:r>
              <a:rPr lang="en-AU" sz="1100" b="1" baseline="0">
                <a:solidFill>
                  <a:schemeClr val="tx1">
                    <a:lumMod val="85000"/>
                    <a:lumOff val="15000"/>
                  </a:schemeClr>
                </a:solidFill>
              </a:rPr>
              <a:t> Union</a:t>
            </a:r>
            <a:endParaRPr lang="en-AU" sz="1100" b="1">
              <a:solidFill>
                <a:schemeClr val="tx1">
                  <a:lumMod val="85000"/>
                  <a:lumOff val="15000"/>
                </a:schemeClr>
              </a:solidFill>
            </a:endParaRPr>
          </a:p>
        </cdr:txBody>
      </cdr:sp>
    </cdr:grpSp>
  </cdr:relSizeAnchor>
</c:userShapes>
</file>

<file path=xl/drawings/drawing3.xml><?xml version="1.0" encoding="utf-8"?>
<c:userShapes xmlns:c="http://schemas.openxmlformats.org/drawingml/2006/chart">
  <cdr:relSizeAnchor xmlns:cdr="http://schemas.openxmlformats.org/drawingml/2006/chartDrawing">
    <cdr:from>
      <cdr:x>0.12642</cdr:x>
      <cdr:y>0.43852</cdr:y>
    </cdr:from>
    <cdr:to>
      <cdr:x>0.56729</cdr:x>
      <cdr:y>0.69349</cdr:y>
    </cdr:to>
    <cdr:grpSp>
      <cdr:nvGrpSpPr>
        <cdr:cNvPr id="8" name="Group 7">
          <a:extLst xmlns:a="http://schemas.openxmlformats.org/drawingml/2006/main">
            <a:ext uri="{FF2B5EF4-FFF2-40B4-BE49-F238E27FC236}">
              <a16:creationId xmlns:a16="http://schemas.microsoft.com/office/drawing/2014/main" id="{CE9EEC01-E575-4DF0-BCC9-4C9691E2F6FD}"/>
            </a:ext>
          </a:extLst>
        </cdr:cNvPr>
        <cdr:cNvGrpSpPr/>
      </cdr:nvGrpSpPr>
      <cdr:grpSpPr>
        <a:xfrm xmlns:a="http://schemas.openxmlformats.org/drawingml/2006/main">
          <a:off x="665299" y="1075091"/>
          <a:ext cx="2320128" cy="625093"/>
          <a:chOff x="697653" y="1065953"/>
          <a:chExt cx="2489200" cy="619760"/>
        </a:xfrm>
      </cdr:grpSpPr>
      <cdr:sp macro="" textlink="">
        <cdr:nvSpPr>
          <cdr:cNvPr id="6" name="Rectangle 5">
            <a:extLst xmlns:a="http://schemas.openxmlformats.org/drawingml/2006/main">
              <a:ext uri="{FF2B5EF4-FFF2-40B4-BE49-F238E27FC236}">
                <a16:creationId xmlns:a16="http://schemas.microsoft.com/office/drawing/2014/main" id="{DB0B8D3B-D36B-4DE5-A67F-79D29FADFDA7}"/>
              </a:ext>
            </a:extLst>
          </cdr:cNvPr>
          <cdr:cNvSpPr/>
        </cdr:nvSpPr>
        <cdr:spPr>
          <a:xfrm xmlns:a="http://schemas.openxmlformats.org/drawingml/2006/main">
            <a:off x="697653" y="1106779"/>
            <a:ext cx="2489200" cy="578934"/>
          </a:xfrm>
          <a:prstGeom xmlns:a="http://schemas.openxmlformats.org/drawingml/2006/main" prst="rect">
            <a:avLst/>
          </a:prstGeom>
          <a:noFill xmlns:a="http://schemas.openxmlformats.org/drawingml/2006/main"/>
          <a:ln xmlns:a="http://schemas.openxmlformats.org/drawingml/2006/main">
            <a:solidFill>
              <a:schemeClr val="tx1"/>
            </a:solidFill>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7" name="TextBox 3">
            <a:extLst xmlns:a="http://schemas.openxmlformats.org/drawingml/2006/main">
              <a:ext uri="{FF2B5EF4-FFF2-40B4-BE49-F238E27FC236}">
                <a16:creationId xmlns:a16="http://schemas.microsoft.com/office/drawing/2014/main" id="{71C6AB51-3AE0-4540-9259-B7B7AD9367E7}"/>
              </a:ext>
            </a:extLst>
          </cdr:cNvPr>
          <cdr:cNvSpPr txBox="1"/>
        </cdr:nvSpPr>
        <cdr:spPr>
          <a:xfrm xmlns:a="http://schemas.openxmlformats.org/drawingml/2006/main">
            <a:off x="934720" y="1065953"/>
            <a:ext cx="2015066" cy="2312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solidFill>
                  <a:schemeClr val="tx1">
                    <a:lumMod val="75000"/>
                    <a:lumOff val="25000"/>
                  </a:schemeClr>
                </a:solidFill>
              </a:rPr>
              <a:t>The EU Customs</a:t>
            </a:r>
            <a:r>
              <a:rPr lang="en-AU" sz="1100" b="1" baseline="0">
                <a:solidFill>
                  <a:schemeClr val="tx1">
                    <a:lumMod val="75000"/>
                    <a:lumOff val="25000"/>
                  </a:schemeClr>
                </a:solidFill>
              </a:rPr>
              <a:t> Union</a:t>
            </a:r>
            <a:endParaRPr lang="en-AU" sz="1100" b="1">
              <a:solidFill>
                <a:schemeClr val="tx1">
                  <a:lumMod val="75000"/>
                  <a:lumOff val="25000"/>
                </a:schemeClr>
              </a:solidFill>
            </a:endParaRPr>
          </a:p>
        </cdr:txBody>
      </cdr:sp>
    </cdr:grpSp>
  </cdr:relSizeAnchor>
</c:userShapes>
</file>

<file path=xl/drawings/drawing4.xml><?xml version="1.0" encoding="utf-8"?>
<c:userShapes xmlns:c="http://schemas.openxmlformats.org/drawingml/2006/chart">
  <cdr:relSizeAnchor xmlns:cdr="http://schemas.openxmlformats.org/drawingml/2006/chartDrawing">
    <cdr:from>
      <cdr:x>0.11585</cdr:x>
      <cdr:y>0.8377</cdr:y>
    </cdr:from>
    <cdr:to>
      <cdr:x>0.22399</cdr:x>
      <cdr:y>0.8975</cdr:y>
    </cdr:to>
    <cdr:sp macro="" textlink="">
      <cdr:nvSpPr>
        <cdr:cNvPr id="8" name="TextBox 1">
          <a:extLst xmlns:a="http://schemas.openxmlformats.org/drawingml/2006/main">
            <a:ext uri="{FF2B5EF4-FFF2-40B4-BE49-F238E27FC236}">
              <a16:creationId xmlns:a16="http://schemas.microsoft.com/office/drawing/2014/main" id="{CDE2037E-35F5-40BB-B70D-D7DF213E076A}"/>
            </a:ext>
          </a:extLst>
        </cdr:cNvPr>
        <cdr:cNvSpPr txBox="1"/>
      </cdr:nvSpPr>
      <cdr:spPr>
        <a:xfrm xmlns:a="http://schemas.openxmlformats.org/drawingml/2006/main">
          <a:off x="602245" y="2808641"/>
          <a:ext cx="562169" cy="20049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b="1">
              <a:solidFill>
                <a:schemeClr val="tx1">
                  <a:lumMod val="85000"/>
                  <a:lumOff val="15000"/>
                </a:schemeClr>
              </a:solidFill>
            </a:rPr>
            <a:t>Zero</a:t>
          </a:r>
        </a:p>
      </cdr:txBody>
    </cdr:sp>
  </cdr:relSizeAnchor>
  <cdr:relSizeAnchor xmlns:cdr="http://schemas.openxmlformats.org/drawingml/2006/chartDrawing">
    <cdr:from>
      <cdr:x>0.09781</cdr:x>
      <cdr:y>0.79383</cdr:y>
    </cdr:from>
    <cdr:to>
      <cdr:x>0.94521</cdr:x>
      <cdr:y>0.92007</cdr:y>
    </cdr:to>
    <cdr:grpSp>
      <cdr:nvGrpSpPr>
        <cdr:cNvPr id="13" name="Group 12">
          <a:extLst xmlns:a="http://schemas.openxmlformats.org/drawingml/2006/main">
            <a:ext uri="{FF2B5EF4-FFF2-40B4-BE49-F238E27FC236}">
              <a16:creationId xmlns:a16="http://schemas.microsoft.com/office/drawing/2014/main" id="{A17CD12E-06A5-4BF1-8AA2-D85A31D8AA8F}"/>
            </a:ext>
          </a:extLst>
        </cdr:cNvPr>
        <cdr:cNvGrpSpPr/>
      </cdr:nvGrpSpPr>
      <cdr:grpSpPr>
        <a:xfrm xmlns:a="http://schemas.openxmlformats.org/drawingml/2006/main">
          <a:off x="517373" y="2655186"/>
          <a:ext cx="4482384" cy="422245"/>
          <a:chOff x="601134" y="2443596"/>
          <a:chExt cx="4842933" cy="447884"/>
        </a:xfrm>
        <a:gradFill xmlns:a="http://schemas.openxmlformats.org/drawingml/2006/main">
          <a:gsLst>
            <a:gs pos="100000">
              <a:srgbClr val="C00000"/>
            </a:gs>
            <a:gs pos="33000">
              <a:schemeClr val="accent1">
                <a:lumMod val="45000"/>
                <a:lumOff val="55000"/>
              </a:schemeClr>
            </a:gs>
            <a:gs pos="0">
              <a:schemeClr val="accent1">
                <a:lumMod val="45000"/>
                <a:lumOff val="55000"/>
              </a:schemeClr>
            </a:gs>
            <a:gs pos="0">
              <a:srgbClr val="002060"/>
            </a:gs>
          </a:gsLst>
          <a:lin ang="0" scaled="1"/>
        </a:gradFill>
      </cdr:grpSpPr>
      <cdr:sp macro="" textlink="">
        <cdr:nvSpPr>
          <cdr:cNvPr id="2" name="Rectangle 1">
            <a:extLst xmlns:a="http://schemas.openxmlformats.org/drawingml/2006/main">
              <a:ext uri="{FF2B5EF4-FFF2-40B4-BE49-F238E27FC236}">
                <a16:creationId xmlns:a16="http://schemas.microsoft.com/office/drawing/2014/main" id="{D5022144-503B-4E64-A10D-6E586295C08B}"/>
              </a:ext>
            </a:extLst>
          </cdr:cNvPr>
          <cdr:cNvSpPr/>
        </cdr:nvSpPr>
        <cdr:spPr>
          <a:xfrm xmlns:a="http://schemas.openxmlformats.org/drawingml/2006/main">
            <a:off x="601134" y="2443596"/>
            <a:ext cx="4732866" cy="165000"/>
          </a:xfrm>
          <a:prstGeom xmlns:a="http://schemas.openxmlformats.org/drawingml/2006/main" prst="rect">
            <a:avLst/>
          </a:prstGeom>
          <a:grpFill xmlns:a="http://schemas.openxmlformats.org/drawingml/2006/main"/>
          <a:ln xmlns:a="http://schemas.openxmlformats.org/drawingml/2006/main" w="9525" cap="flat" cmpd="sng" algn="ctr">
            <a:solidFill>
              <a:schemeClr val="dk1"/>
            </a:solidFill>
            <a:prstDash val="solid"/>
            <a:round/>
            <a:headEnd type="none" w="med" len="med"/>
            <a:tailEnd type="none" w="med" len="med"/>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endParaRPr lang="en-AU" sz="1100">
              <a:solidFill>
                <a:schemeClr val="tx1">
                  <a:lumMod val="85000"/>
                  <a:lumOff val="15000"/>
                </a:schemeClr>
              </a:solidFill>
            </a:endParaRPr>
          </a:p>
        </cdr:txBody>
      </cdr:sp>
      <cdr:sp macro="" textlink="">
        <cdr:nvSpPr>
          <cdr:cNvPr id="3" name="TextBox 2">
            <a:extLst xmlns:a="http://schemas.openxmlformats.org/drawingml/2006/main">
              <a:ext uri="{FF2B5EF4-FFF2-40B4-BE49-F238E27FC236}">
                <a16:creationId xmlns:a16="http://schemas.microsoft.com/office/drawing/2014/main" id="{0BFA8B36-D0AB-48E4-A3EB-8E0A95FA3970}"/>
              </a:ext>
            </a:extLst>
          </cdr:cNvPr>
          <cdr:cNvSpPr txBox="1"/>
        </cdr:nvSpPr>
        <cdr:spPr>
          <a:xfrm xmlns:a="http://schemas.openxmlformats.org/drawingml/2006/main">
            <a:off x="1933395" y="2669884"/>
            <a:ext cx="2169645" cy="22159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nchor="ctr"/>
          <a:lstStyle xmlns:a="http://schemas.openxmlformats.org/drawingml/2006/main"/>
          <a:p xmlns:a="http://schemas.openxmlformats.org/drawingml/2006/main">
            <a:r>
              <a:rPr lang="en-AU" sz="1000" b="1">
                <a:solidFill>
                  <a:schemeClr val="tx1">
                    <a:lumMod val="85000"/>
                    <a:lumOff val="15000"/>
                  </a:schemeClr>
                </a:solidFill>
              </a:rPr>
              <a:t>Impact of EU Single Market</a:t>
            </a:r>
          </a:p>
        </cdr:txBody>
      </cdr:sp>
      <cdr:cxnSp macro="">
        <cdr:nvCxnSpPr>
          <cdr:cNvPr id="5" name="Straight Arrow Connector 4">
            <a:extLst xmlns:a="http://schemas.openxmlformats.org/drawingml/2006/main">
              <a:ext uri="{FF2B5EF4-FFF2-40B4-BE49-F238E27FC236}">
                <a16:creationId xmlns:a16="http://schemas.microsoft.com/office/drawing/2014/main" id="{5B4D5C4E-9055-4404-8D0F-45DBA2F64A45}"/>
              </a:ext>
            </a:extLst>
          </cdr:cNvPr>
          <cdr:cNvCxnSpPr/>
        </cdr:nvCxnSpPr>
        <cdr:spPr>
          <a:xfrm xmlns:a="http://schemas.openxmlformats.org/drawingml/2006/main">
            <a:off x="3733800" y="2757884"/>
            <a:ext cx="1032934" cy="0"/>
          </a:xfrm>
          <a:prstGeom xmlns:a="http://schemas.openxmlformats.org/drawingml/2006/main" prst="straightConnector1">
            <a:avLst/>
          </a:prstGeom>
          <a:grpFill xmlns:a="http://schemas.openxmlformats.org/drawingml/2006/main"/>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7" name="TextBox 6">
            <a:extLst xmlns:a="http://schemas.openxmlformats.org/drawingml/2006/main">
              <a:ext uri="{FF2B5EF4-FFF2-40B4-BE49-F238E27FC236}">
                <a16:creationId xmlns:a16="http://schemas.microsoft.com/office/drawing/2014/main" id="{C4CC2F83-B918-49A5-A7A9-3A6C118AEDCF}"/>
              </a:ext>
            </a:extLst>
          </cdr:cNvPr>
          <cdr:cNvSpPr txBox="1"/>
        </cdr:nvSpPr>
        <cdr:spPr>
          <a:xfrm xmlns:a="http://schemas.openxmlformats.org/drawingml/2006/main">
            <a:off x="4825999" y="2624311"/>
            <a:ext cx="618068" cy="21214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AU" sz="1100" b="1">
                <a:solidFill>
                  <a:schemeClr val="tx1">
                    <a:lumMod val="85000"/>
                    <a:lumOff val="15000"/>
                  </a:schemeClr>
                </a:solidFill>
              </a:rPr>
              <a:t>Total</a:t>
            </a:r>
          </a:p>
        </cdr:txBody>
      </cdr:sp>
      <cdr:cxnSp macro="">
        <cdr:nvCxnSpPr>
          <cdr:cNvPr id="10" name="Straight Arrow Connector 9">
            <a:extLst xmlns:a="http://schemas.openxmlformats.org/drawingml/2006/main">
              <a:ext uri="{FF2B5EF4-FFF2-40B4-BE49-F238E27FC236}">
                <a16:creationId xmlns:a16="http://schemas.microsoft.com/office/drawing/2014/main" id="{2B88466C-011E-4157-9F11-4803FBD3A3B9}"/>
              </a:ext>
            </a:extLst>
          </cdr:cNvPr>
          <cdr:cNvCxnSpPr/>
        </cdr:nvCxnSpPr>
        <cdr:spPr>
          <a:xfrm xmlns:a="http://schemas.openxmlformats.org/drawingml/2006/main" flipH="1" flipV="1">
            <a:off x="1168400" y="2750027"/>
            <a:ext cx="855134" cy="7857"/>
          </a:xfrm>
          <a:prstGeom xmlns:a="http://schemas.openxmlformats.org/drawingml/2006/main" prst="straightConnector1">
            <a:avLst/>
          </a:prstGeom>
          <a:grpFill xmlns:a="http://schemas.openxmlformats.org/drawingml/2006/main"/>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0.72883</cdr:x>
      <cdr:y>0.21068</cdr:y>
    </cdr:from>
    <cdr:to>
      <cdr:x>0.97068</cdr:x>
      <cdr:y>0.68515</cdr:y>
    </cdr:to>
    <cdr:grpSp>
      <cdr:nvGrpSpPr>
        <cdr:cNvPr id="14" name="Group 13">
          <a:extLst xmlns:a="http://schemas.openxmlformats.org/drawingml/2006/main">
            <a:ext uri="{FF2B5EF4-FFF2-40B4-BE49-F238E27FC236}">
              <a16:creationId xmlns:a16="http://schemas.microsoft.com/office/drawing/2014/main" id="{6D85EE82-A8E9-4445-BEB7-1E8FCA958BA0}"/>
            </a:ext>
          </a:extLst>
        </cdr:cNvPr>
        <cdr:cNvGrpSpPr/>
      </cdr:nvGrpSpPr>
      <cdr:grpSpPr>
        <a:xfrm xmlns:a="http://schemas.openxmlformats.org/drawingml/2006/main">
          <a:off x="3855199" y="704678"/>
          <a:ext cx="1279284" cy="1586997"/>
          <a:chOff x="4207934" y="1166203"/>
          <a:chExt cx="1422400" cy="1475396"/>
        </a:xfrm>
      </cdr:grpSpPr>
      <cdr:sp macro="" textlink="">
        <cdr:nvSpPr>
          <cdr:cNvPr id="11" name="Rectangle 10">
            <a:extLst xmlns:a="http://schemas.openxmlformats.org/drawingml/2006/main">
              <a:ext uri="{FF2B5EF4-FFF2-40B4-BE49-F238E27FC236}">
                <a16:creationId xmlns:a16="http://schemas.microsoft.com/office/drawing/2014/main" id="{B58DCC57-33AB-4BBF-8241-1D326CE6C3B4}"/>
              </a:ext>
            </a:extLst>
          </cdr:cNvPr>
          <cdr:cNvSpPr/>
        </cdr:nvSpPr>
        <cdr:spPr>
          <a:xfrm xmlns:a="http://schemas.openxmlformats.org/drawingml/2006/main">
            <a:off x="4207934" y="1176867"/>
            <a:ext cx="1422400" cy="1464732"/>
          </a:xfrm>
          <a:prstGeom xmlns:a="http://schemas.openxmlformats.org/drawingml/2006/main" prst="rect">
            <a:avLst/>
          </a:prstGeom>
          <a:noFill xmlns:a="http://schemas.openxmlformats.org/drawingml/2006/main"/>
          <a:ln xmlns:a="http://schemas.openxmlformats.org/drawingml/2006/main">
            <a:solidFill>
              <a:schemeClr val="tx1"/>
            </a:solidFill>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12" name="TextBox 11">
            <a:extLst xmlns:a="http://schemas.openxmlformats.org/drawingml/2006/main">
              <a:ext uri="{FF2B5EF4-FFF2-40B4-BE49-F238E27FC236}">
                <a16:creationId xmlns:a16="http://schemas.microsoft.com/office/drawing/2014/main" id="{CF23DC53-7C20-4967-83BE-33AB1A7464C0}"/>
              </a:ext>
            </a:extLst>
          </cdr:cNvPr>
          <cdr:cNvSpPr txBox="1"/>
        </cdr:nvSpPr>
        <cdr:spPr>
          <a:xfrm xmlns:a="http://schemas.openxmlformats.org/drawingml/2006/main">
            <a:off x="4327643" y="1166203"/>
            <a:ext cx="1255062" cy="6779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1100" b="1">
                <a:solidFill>
                  <a:schemeClr val="tx1">
                    <a:lumMod val="85000"/>
                    <a:lumOff val="15000"/>
                  </a:schemeClr>
                </a:solidFill>
              </a:rPr>
              <a:t>The EU Customs</a:t>
            </a:r>
            <a:r>
              <a:rPr lang="en-AU" sz="1100" b="1" baseline="0">
                <a:solidFill>
                  <a:schemeClr val="tx1">
                    <a:lumMod val="85000"/>
                    <a:lumOff val="15000"/>
                  </a:schemeClr>
                </a:solidFill>
              </a:rPr>
              <a:t> Union</a:t>
            </a:r>
            <a:endParaRPr lang="en-AU" sz="1100" b="1">
              <a:solidFill>
                <a:schemeClr val="tx1">
                  <a:lumMod val="85000"/>
                  <a:lumOff val="15000"/>
                </a:schemeClr>
              </a:solidFill>
            </a:endParaRPr>
          </a:p>
        </cdr:txBody>
      </cdr:sp>
    </cdr:grpSp>
  </cdr:relSizeAnchor>
</c:userShapes>
</file>

<file path=xl/drawings/drawing5.xml><?xml version="1.0" encoding="utf-8"?>
<c:userShapes xmlns:c="http://schemas.openxmlformats.org/drawingml/2006/chart">
  <cdr:relSizeAnchor xmlns:cdr="http://schemas.openxmlformats.org/drawingml/2006/chartDrawing">
    <cdr:from>
      <cdr:x>0.10638</cdr:x>
      <cdr:y>0.77597</cdr:y>
    </cdr:from>
    <cdr:to>
      <cdr:x>0.95378</cdr:x>
      <cdr:y>0.90303</cdr:y>
    </cdr:to>
    <cdr:grpSp>
      <cdr:nvGrpSpPr>
        <cdr:cNvPr id="15" name="Group 14">
          <a:extLst xmlns:a="http://schemas.openxmlformats.org/drawingml/2006/main">
            <a:ext uri="{FF2B5EF4-FFF2-40B4-BE49-F238E27FC236}">
              <a16:creationId xmlns:a16="http://schemas.microsoft.com/office/drawing/2014/main" id="{0CF0CC48-1A15-4FE7-9429-99CC8F7A00B8}"/>
            </a:ext>
          </a:extLst>
        </cdr:cNvPr>
        <cdr:cNvGrpSpPr/>
      </cdr:nvGrpSpPr>
      <cdr:grpSpPr>
        <a:xfrm xmlns:a="http://schemas.openxmlformats.org/drawingml/2006/main">
          <a:off x="555784" y="2763187"/>
          <a:ext cx="4427251" cy="452454"/>
          <a:chOff x="601134" y="2866929"/>
          <a:chExt cx="4842933" cy="450775"/>
        </a:xfrm>
      </cdr:grpSpPr>
      <cdr:sp macro="" textlink="">
        <cdr:nvSpPr>
          <cdr:cNvPr id="8" name="TextBox 1">
            <a:extLst xmlns:a="http://schemas.openxmlformats.org/drawingml/2006/main">
              <a:ext uri="{FF2B5EF4-FFF2-40B4-BE49-F238E27FC236}">
                <a16:creationId xmlns:a16="http://schemas.microsoft.com/office/drawing/2014/main" id="{CDE2037E-35F5-40BB-B70D-D7DF213E076A}"/>
              </a:ext>
            </a:extLst>
          </cdr:cNvPr>
          <cdr:cNvSpPr txBox="1"/>
        </cdr:nvSpPr>
        <cdr:spPr>
          <a:xfrm xmlns:a="http://schemas.openxmlformats.org/drawingml/2006/main">
            <a:off x="702732" y="3037350"/>
            <a:ext cx="618068" cy="2121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b="1">
                <a:solidFill>
                  <a:schemeClr val="bg2">
                    <a:lumMod val="25000"/>
                  </a:schemeClr>
                </a:solidFill>
              </a:rPr>
              <a:t>Zero</a:t>
            </a:r>
          </a:p>
        </cdr:txBody>
      </cdr:sp>
      <cdr:grpSp>
        <cdr:nvGrpSpPr>
          <cdr:cNvPr id="13" name="Group 12">
            <a:extLst xmlns:a="http://schemas.openxmlformats.org/drawingml/2006/main">
              <a:ext uri="{FF2B5EF4-FFF2-40B4-BE49-F238E27FC236}">
                <a16:creationId xmlns:a16="http://schemas.microsoft.com/office/drawing/2014/main" id="{A17CD12E-06A5-4BF1-8AA2-D85A31D8AA8F}"/>
              </a:ext>
            </a:extLst>
          </cdr:cNvPr>
          <cdr:cNvGrpSpPr/>
        </cdr:nvGrpSpPr>
        <cdr:grpSpPr>
          <a:xfrm xmlns:a="http://schemas.openxmlformats.org/drawingml/2006/main">
            <a:off x="601134" y="2866929"/>
            <a:ext cx="4842933" cy="450775"/>
            <a:chOff x="601134" y="2443596"/>
            <a:chExt cx="4842933" cy="450775"/>
          </a:xfrm>
        </cdr:grpSpPr>
        <cdr:sp macro="" textlink="">
          <cdr:nvSpPr>
            <cdr:cNvPr id="2" name="Rectangle 1">
              <a:extLst xmlns:a="http://schemas.openxmlformats.org/drawingml/2006/main">
                <a:ext uri="{FF2B5EF4-FFF2-40B4-BE49-F238E27FC236}">
                  <a16:creationId xmlns:a16="http://schemas.microsoft.com/office/drawing/2014/main" id="{D5022144-503B-4E64-A10D-6E586295C08B}"/>
                </a:ext>
              </a:extLst>
            </cdr:cNvPr>
            <cdr:cNvSpPr/>
          </cdr:nvSpPr>
          <cdr:spPr>
            <a:xfrm xmlns:a="http://schemas.openxmlformats.org/drawingml/2006/main">
              <a:off x="601134" y="2443596"/>
              <a:ext cx="4732866" cy="165000"/>
            </a:xfrm>
            <a:prstGeom xmlns:a="http://schemas.openxmlformats.org/drawingml/2006/main" prst="rect">
              <a:avLst/>
            </a:prstGeom>
            <a:gradFill xmlns:a="http://schemas.openxmlformats.org/drawingml/2006/main" flip="none" rotWithShape="1">
              <a:gsLst>
                <a:gs pos="100000">
                  <a:srgbClr val="C00000"/>
                </a:gs>
                <a:gs pos="34000">
                  <a:schemeClr val="accent1">
                    <a:lumMod val="45000"/>
                    <a:lumOff val="55000"/>
                  </a:schemeClr>
                </a:gs>
                <a:gs pos="0">
                  <a:schemeClr val="accent1">
                    <a:lumMod val="45000"/>
                    <a:lumOff val="55000"/>
                  </a:schemeClr>
                </a:gs>
                <a:gs pos="0">
                  <a:srgbClr val="002060"/>
                </a:gs>
              </a:gsLst>
              <a:lin ang="0" scaled="1"/>
              <a:tileRect/>
            </a:gradFill>
            <a:ln xmlns:a="http://schemas.openxmlformats.org/drawingml/2006/main" w="9525" cap="flat" cmpd="sng" algn="ctr">
              <a:solidFill>
                <a:schemeClr val="dk1"/>
              </a:solidFill>
              <a:prstDash val="solid"/>
              <a:round/>
              <a:headEnd type="none" w="med" len="med"/>
              <a:tailEnd type="none" w="med" len="med"/>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endParaRPr lang="en-AU" sz="1100"/>
            </a:p>
          </cdr:txBody>
        </cdr:sp>
        <cdr:sp macro="" textlink="">
          <cdr:nvSpPr>
            <cdr:cNvPr id="3" name="TextBox 2">
              <a:extLst xmlns:a="http://schemas.openxmlformats.org/drawingml/2006/main">
                <a:ext uri="{FF2B5EF4-FFF2-40B4-BE49-F238E27FC236}">
                  <a16:creationId xmlns:a16="http://schemas.microsoft.com/office/drawing/2014/main" id="{0BFA8B36-D0AB-48E4-A3EB-8E0A95FA3970}"/>
                </a:ext>
              </a:extLst>
            </cdr:cNvPr>
            <cdr:cNvSpPr txBox="1"/>
          </cdr:nvSpPr>
          <cdr:spPr>
            <a:xfrm xmlns:a="http://schemas.openxmlformats.org/drawingml/2006/main">
              <a:off x="1942012" y="2669884"/>
              <a:ext cx="1952657" cy="22448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en-AU" sz="1100" b="1">
                  <a:solidFill>
                    <a:schemeClr val="bg2">
                      <a:lumMod val="25000"/>
                    </a:schemeClr>
                  </a:solidFill>
                </a:rPr>
                <a:t>Impact of EU Single Market</a:t>
              </a:r>
            </a:p>
          </cdr:txBody>
        </cdr:sp>
        <cdr:cxnSp macro="">
          <cdr:nvCxnSpPr>
            <cdr:cNvPr id="5" name="Straight Arrow Connector 4">
              <a:extLst xmlns:a="http://schemas.openxmlformats.org/drawingml/2006/main">
                <a:ext uri="{FF2B5EF4-FFF2-40B4-BE49-F238E27FC236}">
                  <a16:creationId xmlns:a16="http://schemas.microsoft.com/office/drawing/2014/main" id="{5B4D5C4E-9055-4404-8D0F-45DBA2F64A45}"/>
                </a:ext>
              </a:extLst>
            </cdr:cNvPr>
            <cdr:cNvCxnSpPr/>
          </cdr:nvCxnSpPr>
          <cdr:spPr>
            <a:xfrm xmlns:a="http://schemas.openxmlformats.org/drawingml/2006/main">
              <a:off x="3733800" y="2757884"/>
              <a:ext cx="1032934" cy="0"/>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7" name="TextBox 6">
              <a:extLst xmlns:a="http://schemas.openxmlformats.org/drawingml/2006/main">
                <a:ext uri="{FF2B5EF4-FFF2-40B4-BE49-F238E27FC236}">
                  <a16:creationId xmlns:a16="http://schemas.microsoft.com/office/drawing/2014/main" id="{C4CC2F83-B918-49A5-A7A9-3A6C118AEDCF}"/>
                </a:ext>
              </a:extLst>
            </cdr:cNvPr>
            <cdr:cNvSpPr txBox="1"/>
          </cdr:nvSpPr>
          <cdr:spPr>
            <a:xfrm xmlns:a="http://schemas.openxmlformats.org/drawingml/2006/main">
              <a:off x="4825999" y="2624311"/>
              <a:ext cx="618068" cy="2121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100" b="1">
                  <a:solidFill>
                    <a:schemeClr val="bg2">
                      <a:lumMod val="25000"/>
                    </a:schemeClr>
                  </a:solidFill>
                </a:rPr>
                <a:t>Total</a:t>
              </a:r>
            </a:p>
          </cdr:txBody>
        </cdr:sp>
        <cdr:cxnSp macro="">
          <cdr:nvCxnSpPr>
            <cdr:cNvPr id="10" name="Straight Arrow Connector 9">
              <a:extLst xmlns:a="http://schemas.openxmlformats.org/drawingml/2006/main">
                <a:ext uri="{FF2B5EF4-FFF2-40B4-BE49-F238E27FC236}">
                  <a16:creationId xmlns:a16="http://schemas.microsoft.com/office/drawing/2014/main" id="{2B88466C-011E-4157-9F11-4803FBD3A3B9}"/>
                </a:ext>
              </a:extLst>
            </cdr:cNvPr>
            <cdr:cNvCxnSpPr/>
          </cdr:nvCxnSpPr>
          <cdr:spPr>
            <a:xfrm xmlns:a="http://schemas.openxmlformats.org/drawingml/2006/main" flipH="1" flipV="1">
              <a:off x="1168400" y="2750027"/>
              <a:ext cx="855134" cy="7857"/>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relSizeAnchor>
  <cdr:relSizeAnchor xmlns:cdr="http://schemas.openxmlformats.org/drawingml/2006/chartDrawing">
    <cdr:from>
      <cdr:x>0.73244</cdr:x>
      <cdr:y>0.15473</cdr:y>
    </cdr:from>
    <cdr:to>
      <cdr:x>0.97459</cdr:x>
      <cdr:y>0.64203</cdr:y>
    </cdr:to>
    <cdr:grpSp>
      <cdr:nvGrpSpPr>
        <cdr:cNvPr id="14" name="Group 13">
          <a:extLst xmlns:a="http://schemas.openxmlformats.org/drawingml/2006/main">
            <a:ext uri="{FF2B5EF4-FFF2-40B4-BE49-F238E27FC236}">
              <a16:creationId xmlns:a16="http://schemas.microsoft.com/office/drawing/2014/main" id="{6D85EE82-A8E9-4445-BEB7-1E8FCA958BA0}"/>
            </a:ext>
          </a:extLst>
        </cdr:cNvPr>
        <cdr:cNvGrpSpPr/>
      </cdr:nvGrpSpPr>
      <cdr:grpSpPr>
        <a:xfrm xmlns:a="http://schemas.openxmlformats.org/drawingml/2006/main">
          <a:off x="3826642" y="550985"/>
          <a:ext cx="1265115" cy="1735249"/>
          <a:chOff x="4122230" y="1010884"/>
          <a:chExt cx="1444851" cy="1630716"/>
        </a:xfrm>
      </cdr:grpSpPr>
      <cdr:sp macro="" textlink="">
        <cdr:nvSpPr>
          <cdr:cNvPr id="11" name="Rectangle 10">
            <a:extLst xmlns:a="http://schemas.openxmlformats.org/drawingml/2006/main">
              <a:ext uri="{FF2B5EF4-FFF2-40B4-BE49-F238E27FC236}">
                <a16:creationId xmlns:a16="http://schemas.microsoft.com/office/drawing/2014/main" id="{B58DCC57-33AB-4BBF-8241-1D326CE6C3B4}"/>
              </a:ext>
            </a:extLst>
          </cdr:cNvPr>
          <cdr:cNvSpPr/>
        </cdr:nvSpPr>
        <cdr:spPr>
          <a:xfrm xmlns:a="http://schemas.openxmlformats.org/drawingml/2006/main">
            <a:off x="4207934" y="1010884"/>
            <a:ext cx="1359147" cy="1630716"/>
          </a:xfrm>
          <a:prstGeom xmlns:a="http://schemas.openxmlformats.org/drawingml/2006/main" prst="rect">
            <a:avLst/>
          </a:prstGeom>
          <a:noFill xmlns:a="http://schemas.openxmlformats.org/drawingml/2006/main"/>
          <a:ln xmlns:a="http://schemas.openxmlformats.org/drawingml/2006/main">
            <a:solidFill>
              <a:schemeClr val="tx1"/>
            </a:solidFill>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12" name="TextBox 11">
            <a:extLst xmlns:a="http://schemas.openxmlformats.org/drawingml/2006/main">
              <a:ext uri="{FF2B5EF4-FFF2-40B4-BE49-F238E27FC236}">
                <a16:creationId xmlns:a16="http://schemas.microsoft.com/office/drawing/2014/main" id="{CF23DC53-7C20-4967-83BE-33AB1A7464C0}"/>
              </a:ext>
            </a:extLst>
          </cdr:cNvPr>
          <cdr:cNvSpPr txBox="1"/>
        </cdr:nvSpPr>
        <cdr:spPr>
          <a:xfrm xmlns:a="http://schemas.openxmlformats.org/drawingml/2006/main">
            <a:off x="4122230" y="1121829"/>
            <a:ext cx="1437950" cy="4681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1100" b="1">
                <a:solidFill>
                  <a:schemeClr val="tx1">
                    <a:lumMod val="75000"/>
                    <a:lumOff val="25000"/>
                  </a:schemeClr>
                </a:solidFill>
              </a:rPr>
              <a:t>The EU Customs</a:t>
            </a:r>
            <a:r>
              <a:rPr lang="en-AU" sz="1100" b="1" baseline="0">
                <a:solidFill>
                  <a:schemeClr val="tx1">
                    <a:lumMod val="75000"/>
                    <a:lumOff val="25000"/>
                  </a:schemeClr>
                </a:solidFill>
              </a:rPr>
              <a:t> Union</a:t>
            </a:r>
            <a:endParaRPr lang="en-AU" sz="1100" b="1">
              <a:solidFill>
                <a:schemeClr val="tx1">
                  <a:lumMod val="75000"/>
                  <a:lumOff val="25000"/>
                </a:schemeClr>
              </a:solidFill>
            </a:endParaRPr>
          </a:p>
        </cdr:txBody>
      </cdr:sp>
    </cdr:grpSp>
  </cdr:relSizeAnchor>
</c:userShapes>
</file>

<file path=xl/drawings/drawing6.xml><?xml version="1.0" encoding="utf-8"?>
<c:userShapes xmlns:c="http://schemas.openxmlformats.org/drawingml/2006/chart">
  <cdr:relSizeAnchor xmlns:cdr="http://schemas.openxmlformats.org/drawingml/2006/chartDrawing">
    <cdr:from>
      <cdr:x>0.01748</cdr:x>
      <cdr:y>0.18251</cdr:y>
    </cdr:from>
    <cdr:to>
      <cdr:x>0.18408</cdr:x>
      <cdr:y>0.35908</cdr:y>
    </cdr:to>
    <cdr:sp macro="" textlink="">
      <cdr:nvSpPr>
        <cdr:cNvPr id="2" name="TextBox 1">
          <a:extLst xmlns:a="http://schemas.openxmlformats.org/drawingml/2006/main">
            <a:ext uri="{FF2B5EF4-FFF2-40B4-BE49-F238E27FC236}">
              <a16:creationId xmlns:a16="http://schemas.microsoft.com/office/drawing/2014/main" id="{8A556FD5-9D6D-48FA-B18A-D782FDCF7381}"/>
            </a:ext>
          </a:extLst>
        </cdr:cNvPr>
        <cdr:cNvSpPr txBox="1"/>
      </cdr:nvSpPr>
      <cdr:spPr>
        <a:xfrm xmlns:a="http://schemas.openxmlformats.org/drawingml/2006/main">
          <a:off x="81643" y="497091"/>
          <a:ext cx="778328" cy="4808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100" b="1"/>
            <a:t> Goods</a:t>
          </a:r>
        </a:p>
        <a:p xmlns:a="http://schemas.openxmlformats.org/drawingml/2006/main">
          <a:r>
            <a:rPr lang="en-AU" sz="1100" b="1"/>
            <a:t>£339 bn</a:t>
          </a:r>
        </a:p>
        <a:p xmlns:a="http://schemas.openxmlformats.org/drawingml/2006/main">
          <a:r>
            <a:rPr lang="en-AU" sz="1100" b="1"/>
            <a:t> </a:t>
          </a:r>
        </a:p>
      </cdr:txBody>
    </cdr:sp>
  </cdr:relSizeAnchor>
  <cdr:relSizeAnchor xmlns:cdr="http://schemas.openxmlformats.org/drawingml/2006/chartDrawing">
    <cdr:from>
      <cdr:x>0.22059</cdr:x>
      <cdr:y>0.47613</cdr:y>
    </cdr:from>
    <cdr:to>
      <cdr:x>0.37438</cdr:x>
      <cdr:y>0.65269</cdr:y>
    </cdr:to>
    <cdr:sp macro="" textlink="">
      <cdr:nvSpPr>
        <cdr:cNvPr id="3" name="TextBox 1">
          <a:extLst xmlns:a="http://schemas.openxmlformats.org/drawingml/2006/main">
            <a:ext uri="{FF2B5EF4-FFF2-40B4-BE49-F238E27FC236}">
              <a16:creationId xmlns:a16="http://schemas.microsoft.com/office/drawing/2014/main" id="{8F965DF9-3055-480C-9E92-A0F1434195B1}"/>
            </a:ext>
          </a:extLst>
        </cdr:cNvPr>
        <cdr:cNvSpPr txBox="1"/>
      </cdr:nvSpPr>
      <cdr:spPr>
        <a:xfrm xmlns:a="http://schemas.openxmlformats.org/drawingml/2006/main">
          <a:off x="1030514" y="1296781"/>
          <a:ext cx="718457" cy="4808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a:t> </a:t>
          </a:r>
          <a:r>
            <a:rPr lang="en-AU" sz="1100" b="1">
              <a:effectLst/>
              <a:latin typeface="+mn-lt"/>
              <a:ea typeface="+mn-ea"/>
              <a:cs typeface="+mn-cs"/>
            </a:rPr>
            <a:t>Services</a:t>
          </a:r>
        </a:p>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AU" sz="1100" b="1">
              <a:effectLst/>
              <a:latin typeface="+mn-lt"/>
              <a:ea typeface="+mn-ea"/>
              <a:cs typeface="+mn-cs"/>
            </a:rPr>
            <a:t>£279 bn</a:t>
          </a:r>
          <a:endParaRPr lang="en-AU">
            <a:effectLst/>
          </a:endParaRPr>
        </a:p>
        <a:p xmlns:a="http://schemas.openxmlformats.org/drawingml/2006/main">
          <a:pPr algn="ctr"/>
          <a:r>
            <a:rPr lang="en-AU" sz="1100"/>
            <a:t> </a:t>
          </a:r>
        </a:p>
      </cdr:txBody>
    </cdr:sp>
  </cdr:relSizeAnchor>
  <cdr:relSizeAnchor xmlns:cdr="http://schemas.openxmlformats.org/drawingml/2006/chartDrawing">
    <cdr:from>
      <cdr:x>0.57744</cdr:x>
      <cdr:y>0.33778</cdr:y>
    </cdr:from>
    <cdr:to>
      <cdr:x>0.96186</cdr:x>
      <cdr:y>0.906</cdr:y>
    </cdr:to>
    <cdr:sp macro="" textlink="">
      <cdr:nvSpPr>
        <cdr:cNvPr id="4" name="Rectangle 3">
          <a:extLst xmlns:a="http://schemas.openxmlformats.org/drawingml/2006/main">
            <a:ext uri="{FF2B5EF4-FFF2-40B4-BE49-F238E27FC236}">
              <a16:creationId xmlns:a16="http://schemas.microsoft.com/office/drawing/2014/main" id="{D3C4A1B4-EE73-456D-B22B-223DF7BAB9D0}"/>
            </a:ext>
          </a:extLst>
        </cdr:cNvPr>
        <cdr:cNvSpPr/>
      </cdr:nvSpPr>
      <cdr:spPr>
        <a:xfrm xmlns:a="http://schemas.openxmlformats.org/drawingml/2006/main">
          <a:off x="3036168" y="924999"/>
          <a:ext cx="2021306" cy="1556084"/>
        </a:xfrm>
        <a:prstGeom xmlns:a="http://schemas.openxmlformats.org/drawingml/2006/main" prst="rect">
          <a:avLst/>
        </a:prstGeom>
        <a:noFill xmlns:a="http://schemas.openxmlformats.org/drawingml/2006/main"/>
        <a:ln xmlns:a="http://schemas.openxmlformats.org/drawingml/2006/main">
          <a:prstDash val="sys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0.65829</cdr:x>
      <cdr:y>0.32899</cdr:y>
    </cdr:from>
    <cdr:to>
      <cdr:x>0.96796</cdr:x>
      <cdr:y>0.41686</cdr:y>
    </cdr:to>
    <cdr:sp macro="" textlink="">
      <cdr:nvSpPr>
        <cdr:cNvPr id="5" name="TextBox 4">
          <a:extLst xmlns:a="http://schemas.openxmlformats.org/drawingml/2006/main">
            <a:ext uri="{FF2B5EF4-FFF2-40B4-BE49-F238E27FC236}">
              <a16:creationId xmlns:a16="http://schemas.microsoft.com/office/drawing/2014/main" id="{88094A75-560E-466F-B038-ED5AB24C004E}"/>
            </a:ext>
          </a:extLst>
        </cdr:cNvPr>
        <cdr:cNvSpPr txBox="1"/>
      </cdr:nvSpPr>
      <cdr:spPr>
        <a:xfrm xmlns:a="http://schemas.openxmlformats.org/drawingml/2006/main">
          <a:off x="3461284" y="900936"/>
          <a:ext cx="1628274" cy="2406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200" b="1"/>
            <a:t>Non-EU Exports</a:t>
          </a: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8467</xdr:colOff>
      <xdr:row>103</xdr:row>
      <xdr:rowOff>193192</xdr:rowOff>
    </xdr:from>
    <xdr:to>
      <xdr:col>10</xdr:col>
      <xdr:colOff>8466</xdr:colOff>
      <xdr:row>114</xdr:row>
      <xdr:rowOff>148087</xdr:rowOff>
    </xdr:to>
    <xdr:graphicFrame macro="">
      <xdr:nvGraphicFramePr>
        <xdr:cNvPr id="3" name="Chart 2">
          <a:extLst>
            <a:ext uri="{FF2B5EF4-FFF2-40B4-BE49-F238E27FC236}">
              <a16:creationId xmlns:a16="http://schemas.microsoft.com/office/drawing/2014/main" id="{C4BE62A4-7866-486A-B612-6EC28E92E0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8467</xdr:colOff>
      <xdr:row>115</xdr:row>
      <xdr:rowOff>1691</xdr:rowOff>
    </xdr:from>
    <xdr:to>
      <xdr:col>9</xdr:col>
      <xdr:colOff>609597</xdr:colOff>
      <xdr:row>121</xdr:row>
      <xdr:rowOff>237067</xdr:rowOff>
    </xdr:to>
    <xdr:graphicFrame macro="">
      <xdr:nvGraphicFramePr>
        <xdr:cNvPr id="4" name="Chart 3">
          <a:extLst>
            <a:ext uri="{FF2B5EF4-FFF2-40B4-BE49-F238E27FC236}">
              <a16:creationId xmlns:a16="http://schemas.microsoft.com/office/drawing/2014/main" id="{F26B7809-63EC-4FCD-8D69-612A04166B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118534</xdr:colOff>
      <xdr:row>104</xdr:row>
      <xdr:rowOff>1</xdr:rowOff>
    </xdr:from>
    <xdr:to>
      <xdr:col>3</xdr:col>
      <xdr:colOff>736600</xdr:colOff>
      <xdr:row>114</xdr:row>
      <xdr:rowOff>113453</xdr:rowOff>
    </xdr:to>
    <xdr:graphicFrame macro="">
      <xdr:nvGraphicFramePr>
        <xdr:cNvPr id="9" name="Chart 8">
          <a:extLst>
            <a:ext uri="{FF2B5EF4-FFF2-40B4-BE49-F238E27FC236}">
              <a16:creationId xmlns:a16="http://schemas.microsoft.com/office/drawing/2014/main" id="{10DA7ED2-088D-4CC7-9319-4399DFC480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204048</xdr:colOff>
      <xdr:row>47</xdr:row>
      <xdr:rowOff>203202</xdr:rowOff>
    </xdr:from>
    <xdr:to>
      <xdr:col>10</xdr:col>
      <xdr:colOff>254001</xdr:colOff>
      <xdr:row>61</xdr:row>
      <xdr:rowOff>169334</xdr:rowOff>
    </xdr:to>
    <xdr:graphicFrame macro="">
      <xdr:nvGraphicFramePr>
        <xdr:cNvPr id="10" name="Chart 9">
          <a:extLst>
            <a:ext uri="{FF2B5EF4-FFF2-40B4-BE49-F238E27FC236}">
              <a16:creationId xmlns:a16="http://schemas.microsoft.com/office/drawing/2014/main" id="{3E07343C-2E47-41FD-A3E9-45F95B6B7E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905934</xdr:colOff>
      <xdr:row>66</xdr:row>
      <xdr:rowOff>5081</xdr:rowOff>
    </xdr:from>
    <xdr:to>
      <xdr:col>14</xdr:col>
      <xdr:colOff>76201</xdr:colOff>
      <xdr:row>80</xdr:row>
      <xdr:rowOff>39794</xdr:rowOff>
    </xdr:to>
    <xdr:graphicFrame macro="">
      <xdr:nvGraphicFramePr>
        <xdr:cNvPr id="12" name="Chart 11">
          <a:extLst>
            <a:ext uri="{FF2B5EF4-FFF2-40B4-BE49-F238E27FC236}">
              <a16:creationId xmlns:a16="http://schemas.microsoft.com/office/drawing/2014/main" id="{F19577D4-59D7-4A66-9A43-4F5982A0E9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xdr:colOff>
      <xdr:row>80</xdr:row>
      <xdr:rowOff>521548</xdr:rowOff>
    </xdr:from>
    <xdr:to>
      <xdr:col>14</xdr:col>
      <xdr:colOff>212735</xdr:colOff>
      <xdr:row>97</xdr:row>
      <xdr:rowOff>0</xdr:rowOff>
    </xdr:to>
    <xdr:graphicFrame macro="">
      <xdr:nvGraphicFramePr>
        <xdr:cNvPr id="13" name="Chart 12">
          <a:extLst>
            <a:ext uri="{FF2B5EF4-FFF2-40B4-BE49-F238E27FC236}">
              <a16:creationId xmlns:a16="http://schemas.microsoft.com/office/drawing/2014/main" id="{8405F5FD-52AC-4EE8-A683-76B0BE3996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894926</xdr:colOff>
      <xdr:row>7</xdr:row>
      <xdr:rowOff>228599</xdr:rowOff>
    </xdr:from>
    <xdr:to>
      <xdr:col>13</xdr:col>
      <xdr:colOff>626533</xdr:colOff>
      <xdr:row>25</xdr:row>
      <xdr:rowOff>42333</xdr:rowOff>
    </xdr:to>
    <xdr:grpSp>
      <xdr:nvGrpSpPr>
        <xdr:cNvPr id="19" name="Group 18">
          <a:extLst>
            <a:ext uri="{FF2B5EF4-FFF2-40B4-BE49-F238E27FC236}">
              <a16:creationId xmlns:a16="http://schemas.microsoft.com/office/drawing/2014/main" id="{D014CD32-75C7-406F-84E0-D4E79D979268}"/>
            </a:ext>
          </a:extLst>
        </xdr:cNvPr>
        <xdr:cNvGrpSpPr/>
      </xdr:nvGrpSpPr>
      <xdr:grpSpPr>
        <a:xfrm>
          <a:off x="6347459" y="3699932"/>
          <a:ext cx="8384541" cy="3217334"/>
          <a:chOff x="5345459" y="1473200"/>
          <a:chExt cx="8025694" cy="3401546"/>
        </a:xfrm>
      </xdr:grpSpPr>
      <xdr:grpSp>
        <xdr:nvGrpSpPr>
          <xdr:cNvPr id="17" name="Group 16">
            <a:extLst>
              <a:ext uri="{FF2B5EF4-FFF2-40B4-BE49-F238E27FC236}">
                <a16:creationId xmlns:a16="http://schemas.microsoft.com/office/drawing/2014/main" id="{1583846A-47C4-432D-93CD-3D70353B99DD}"/>
              </a:ext>
            </a:extLst>
          </xdr:cNvPr>
          <xdr:cNvGrpSpPr/>
        </xdr:nvGrpSpPr>
        <xdr:grpSpPr>
          <a:xfrm>
            <a:off x="5345459" y="1473200"/>
            <a:ext cx="7908821" cy="3401546"/>
            <a:chOff x="5345459" y="1473200"/>
            <a:chExt cx="7908821" cy="3401546"/>
          </a:xfrm>
        </xdr:grpSpPr>
        <xdr:graphicFrame macro="">
          <xdr:nvGraphicFramePr>
            <xdr:cNvPr id="14" name="Chart 13">
              <a:extLst>
                <a:ext uri="{FF2B5EF4-FFF2-40B4-BE49-F238E27FC236}">
                  <a16:creationId xmlns:a16="http://schemas.microsoft.com/office/drawing/2014/main" id="{69316C81-E128-4408-8FF9-71DF9E3B120B}"/>
                </a:ext>
              </a:extLst>
            </xdr:cNvPr>
            <xdr:cNvGraphicFramePr>
              <a:graphicFrameLocks/>
            </xdr:cNvGraphicFramePr>
          </xdr:nvGraphicFramePr>
          <xdr:xfrm>
            <a:off x="5345459" y="1473200"/>
            <a:ext cx="7908821" cy="3401546"/>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2" name="TextBox 1">
              <a:extLst>
                <a:ext uri="{FF2B5EF4-FFF2-40B4-BE49-F238E27FC236}">
                  <a16:creationId xmlns:a16="http://schemas.microsoft.com/office/drawing/2014/main" id="{3B2C79F5-3D80-4042-B833-269543108F2B}"/>
                </a:ext>
              </a:extLst>
            </xdr:cNvPr>
            <xdr:cNvSpPr txBox="1"/>
          </xdr:nvSpPr>
          <xdr:spPr>
            <a:xfrm>
              <a:off x="10014735" y="2199396"/>
              <a:ext cx="698207" cy="414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i="0" u="none" strike="noStrike" kern="1200" baseline="0">
                  <a:solidFill>
                    <a:schemeClr val="tx1">
                      <a:lumMod val="65000"/>
                      <a:lumOff val="35000"/>
                    </a:schemeClr>
                  </a:solidFill>
                  <a:latin typeface="+mn-lt"/>
                  <a:ea typeface="+mn-ea"/>
                  <a:cs typeface="+mn-cs"/>
                </a:rPr>
                <a:t>£90.5 bn</a:t>
              </a:r>
            </a:p>
          </xdr:txBody>
        </xdr:sp>
      </xdr:grpSp>
      <xdr:sp macro="" textlink="">
        <xdr:nvSpPr>
          <xdr:cNvPr id="18" name="TextBox 17">
            <a:extLst>
              <a:ext uri="{FF2B5EF4-FFF2-40B4-BE49-F238E27FC236}">
                <a16:creationId xmlns:a16="http://schemas.microsoft.com/office/drawing/2014/main" id="{A1B21A83-C282-4046-8AFC-C0C92A73061C}"/>
              </a:ext>
            </a:extLst>
          </xdr:cNvPr>
          <xdr:cNvSpPr txBox="1"/>
        </xdr:nvSpPr>
        <xdr:spPr>
          <a:xfrm>
            <a:off x="12651487" y="3040020"/>
            <a:ext cx="719666" cy="355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i="0" u="none" strike="noStrike" kern="1200" baseline="0">
                <a:solidFill>
                  <a:schemeClr val="tx1">
                    <a:lumMod val="65000"/>
                    <a:lumOff val="35000"/>
                  </a:schemeClr>
                </a:solidFill>
                <a:latin typeface="+mn-lt"/>
                <a:ea typeface="+mn-ea"/>
                <a:cs typeface="+mn-cs"/>
              </a:rPr>
              <a:t>£155 bn</a:t>
            </a:r>
          </a:p>
        </xdr:txBody>
      </xdr:sp>
    </xdr:grpSp>
    <xdr:clientData/>
  </xdr:twoCellAnchor>
  <xdr:twoCellAnchor>
    <xdr:from>
      <xdr:col>0</xdr:col>
      <xdr:colOff>186266</xdr:colOff>
      <xdr:row>138</xdr:row>
      <xdr:rowOff>4234</xdr:rowOff>
    </xdr:from>
    <xdr:to>
      <xdr:col>7</xdr:col>
      <xdr:colOff>237066</xdr:colOff>
      <xdr:row>151</xdr:row>
      <xdr:rowOff>127001</xdr:rowOff>
    </xdr:to>
    <xdr:graphicFrame macro="">
      <xdr:nvGraphicFramePr>
        <xdr:cNvPr id="8" name="Chart 7">
          <a:extLst>
            <a:ext uri="{FF2B5EF4-FFF2-40B4-BE49-F238E27FC236}">
              <a16:creationId xmlns:a16="http://schemas.microsoft.com/office/drawing/2014/main" id="{E8D63AD8-F555-4BE7-8431-3C6E064192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12700</xdr:colOff>
      <xdr:row>122</xdr:row>
      <xdr:rowOff>4234</xdr:rowOff>
    </xdr:from>
    <xdr:to>
      <xdr:col>9</xdr:col>
      <xdr:colOff>414867</xdr:colOff>
      <xdr:row>129</xdr:row>
      <xdr:rowOff>177800</xdr:rowOff>
    </xdr:to>
    <xdr:graphicFrame macro="">
      <xdr:nvGraphicFramePr>
        <xdr:cNvPr id="15" name="Chart 14">
          <a:extLst>
            <a:ext uri="{FF2B5EF4-FFF2-40B4-BE49-F238E27FC236}">
              <a16:creationId xmlns:a16="http://schemas.microsoft.com/office/drawing/2014/main" id="{A0A2FD6B-DBA4-4BDF-BC1B-C93353CA65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38098</xdr:colOff>
      <xdr:row>157</xdr:row>
      <xdr:rowOff>16932</xdr:rowOff>
    </xdr:from>
    <xdr:to>
      <xdr:col>6</xdr:col>
      <xdr:colOff>1684865</xdr:colOff>
      <xdr:row>171</xdr:row>
      <xdr:rowOff>88898</xdr:rowOff>
    </xdr:to>
    <xdr:graphicFrame macro="">
      <xdr:nvGraphicFramePr>
        <xdr:cNvPr id="16" name="Chart 15">
          <a:extLst>
            <a:ext uri="{FF2B5EF4-FFF2-40B4-BE49-F238E27FC236}">
              <a16:creationId xmlns:a16="http://schemas.microsoft.com/office/drawing/2014/main" id="{9FF6A15D-DFAC-4E4F-B25C-EB0A4E7F7A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110066</xdr:colOff>
      <xdr:row>157</xdr:row>
      <xdr:rowOff>0</xdr:rowOff>
    </xdr:from>
    <xdr:to>
      <xdr:col>19</xdr:col>
      <xdr:colOff>575733</xdr:colOff>
      <xdr:row>171</xdr:row>
      <xdr:rowOff>71966</xdr:rowOff>
    </xdr:to>
    <xdr:graphicFrame macro="">
      <xdr:nvGraphicFramePr>
        <xdr:cNvPr id="20" name="Chart 19">
          <a:extLst>
            <a:ext uri="{FF2B5EF4-FFF2-40B4-BE49-F238E27FC236}">
              <a16:creationId xmlns:a16="http://schemas.microsoft.com/office/drawing/2014/main" id="{EBBF8A65-D4F8-4D15-813A-7C66DF743B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0</xdr:colOff>
      <xdr:row>8</xdr:row>
      <xdr:rowOff>0</xdr:rowOff>
    </xdr:from>
    <xdr:to>
      <xdr:col>23</xdr:col>
      <xdr:colOff>347134</xdr:colOff>
      <xdr:row>20</xdr:row>
      <xdr:rowOff>169333</xdr:rowOff>
    </xdr:to>
    <xdr:graphicFrame macro="">
      <xdr:nvGraphicFramePr>
        <xdr:cNvPr id="22" name="Chart 21">
          <a:extLst>
            <a:ext uri="{FF2B5EF4-FFF2-40B4-BE49-F238E27FC236}">
              <a16:creationId xmlns:a16="http://schemas.microsoft.com/office/drawing/2014/main" id="{78B31A8F-65A6-480A-9B74-C14E01D53E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28</xdr:row>
      <xdr:rowOff>0</xdr:rowOff>
    </xdr:from>
    <xdr:to>
      <xdr:col>10</xdr:col>
      <xdr:colOff>575733</xdr:colOff>
      <xdr:row>45</xdr:row>
      <xdr:rowOff>110066</xdr:rowOff>
    </xdr:to>
    <xdr:graphicFrame macro="">
      <xdr:nvGraphicFramePr>
        <xdr:cNvPr id="23" name="Chart 22">
          <a:extLst>
            <a:ext uri="{FF2B5EF4-FFF2-40B4-BE49-F238E27FC236}">
              <a16:creationId xmlns:a16="http://schemas.microsoft.com/office/drawing/2014/main" id="{F0EC4E90-84FE-41A3-AEB0-34A32ACE9A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0.91708</cdr:x>
      <cdr:y>0.43947</cdr:y>
    </cdr:from>
    <cdr:to>
      <cdr:x>1</cdr:x>
      <cdr:y>0.54401</cdr:y>
    </cdr:to>
    <cdr:sp macro="" textlink="">
      <cdr:nvSpPr>
        <cdr:cNvPr id="2" name="TextBox 17">
          <a:extLst xmlns:a="http://schemas.openxmlformats.org/drawingml/2006/main">
            <a:ext uri="{FF2B5EF4-FFF2-40B4-BE49-F238E27FC236}">
              <a16:creationId xmlns:a16="http://schemas.microsoft.com/office/drawing/2014/main" id="{A1B21A83-C282-4046-8AFC-C0C92A73061C}"/>
            </a:ext>
          </a:extLst>
        </cdr:cNvPr>
        <cdr:cNvSpPr txBox="1"/>
      </cdr:nvSpPr>
      <cdr:spPr>
        <a:xfrm xmlns:a="http://schemas.openxmlformats.org/drawingml/2006/main">
          <a:off x="7577307" y="1413933"/>
          <a:ext cx="685135" cy="33634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200" b="1" i="0" u="none" strike="noStrike" kern="1200" baseline="0">
              <a:solidFill>
                <a:schemeClr val="tx1">
                  <a:lumMod val="65000"/>
                  <a:lumOff val="35000"/>
                </a:schemeClr>
              </a:solidFill>
              <a:latin typeface="+mn-lt"/>
              <a:ea typeface="+mn-ea"/>
              <a:cs typeface="+mn-cs"/>
            </a:rPr>
            <a:t>£155 bn</a:t>
          </a:r>
        </a:p>
      </cdr:txBody>
    </cdr:sp>
  </cdr:relSizeAnchor>
  <cdr:relSizeAnchor xmlns:cdr="http://schemas.openxmlformats.org/drawingml/2006/chartDrawing">
    <cdr:from>
      <cdr:x>0.59434</cdr:x>
      <cdr:y>0.21579</cdr:y>
    </cdr:from>
    <cdr:to>
      <cdr:x>0.7091</cdr:x>
      <cdr:y>0.33775</cdr:y>
    </cdr:to>
    <cdr:sp macro="" textlink="">
      <cdr:nvSpPr>
        <cdr:cNvPr id="4" name="TextBox 1">
          <a:extLst xmlns:a="http://schemas.openxmlformats.org/drawingml/2006/main">
            <a:ext uri="{FF2B5EF4-FFF2-40B4-BE49-F238E27FC236}">
              <a16:creationId xmlns:a16="http://schemas.microsoft.com/office/drawing/2014/main" id="{3B2C79F5-3D80-4042-B833-269543108F2B}"/>
            </a:ext>
          </a:extLst>
        </cdr:cNvPr>
        <cdr:cNvSpPr txBox="1"/>
      </cdr:nvSpPr>
      <cdr:spPr>
        <a:xfrm xmlns:a="http://schemas.openxmlformats.org/drawingml/2006/main">
          <a:off x="4910667" y="694267"/>
          <a:ext cx="948266" cy="39239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200" b="1" i="0" u="none" strike="noStrike" kern="1200" baseline="0">
              <a:solidFill>
                <a:schemeClr val="tx1">
                  <a:lumMod val="65000"/>
                  <a:lumOff val="35000"/>
                </a:schemeClr>
              </a:solidFill>
              <a:latin typeface="+mn-lt"/>
              <a:ea typeface="+mn-ea"/>
              <a:cs typeface="+mn-cs"/>
            </a:rPr>
            <a:t>£90.5 bn</a:t>
          </a:r>
        </a:p>
      </cdr:txBody>
    </cdr:sp>
  </cdr:relSizeAnchor>
</c:userShapes>
</file>

<file path=xl/drawings/drawing9.xml><?xml version="1.0" encoding="utf-8"?>
<xdr:wsDr xmlns:xdr="http://schemas.openxmlformats.org/drawingml/2006/spreadsheetDrawing" xmlns:a="http://schemas.openxmlformats.org/drawingml/2006/main">
  <xdr:twoCellAnchor>
    <xdr:from>
      <xdr:col>24</xdr:col>
      <xdr:colOff>403860</xdr:colOff>
      <xdr:row>53</xdr:row>
      <xdr:rowOff>0</xdr:rowOff>
    </xdr:from>
    <xdr:to>
      <xdr:col>31</xdr:col>
      <xdr:colOff>106680</xdr:colOff>
      <xdr:row>73</xdr:row>
      <xdr:rowOff>198120</xdr:rowOff>
    </xdr:to>
    <xdr:graphicFrame macro="">
      <xdr:nvGraphicFramePr>
        <xdr:cNvPr id="12" name="Chart 11">
          <a:extLst>
            <a:ext uri="{FF2B5EF4-FFF2-40B4-BE49-F238E27FC236}">
              <a16:creationId xmlns:a16="http://schemas.microsoft.com/office/drawing/2014/main" id="{1C3937FD-D0CE-44B4-B620-83FB3B24C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604059</xdr:colOff>
      <xdr:row>72</xdr:row>
      <xdr:rowOff>5388</xdr:rowOff>
    </xdr:from>
    <xdr:to>
      <xdr:col>9</xdr:col>
      <xdr:colOff>897467</xdr:colOff>
      <xdr:row>78</xdr:row>
      <xdr:rowOff>314325</xdr:rowOff>
    </xdr:to>
    <xdr:graphicFrame macro="">
      <xdr:nvGraphicFramePr>
        <xdr:cNvPr id="14" name="Chart 13">
          <a:extLst>
            <a:ext uri="{FF2B5EF4-FFF2-40B4-BE49-F238E27FC236}">
              <a16:creationId xmlns:a16="http://schemas.microsoft.com/office/drawing/2014/main" id="{8ABE0DCE-61C6-4D33-B0C1-66EEBB3987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93133</xdr:colOff>
      <xdr:row>98</xdr:row>
      <xdr:rowOff>55033</xdr:rowOff>
    </xdr:from>
    <xdr:to>
      <xdr:col>10</xdr:col>
      <xdr:colOff>118534</xdr:colOff>
      <xdr:row>112</xdr:row>
      <xdr:rowOff>50800</xdr:rowOff>
    </xdr:to>
    <xdr:graphicFrame macro="">
      <xdr:nvGraphicFramePr>
        <xdr:cNvPr id="16" name="Chart 15">
          <a:extLst>
            <a:ext uri="{FF2B5EF4-FFF2-40B4-BE49-F238E27FC236}">
              <a16:creationId xmlns:a16="http://schemas.microsoft.com/office/drawing/2014/main" id="{CA8490E7-C953-42F4-99C0-F962839620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31557</xdr:colOff>
      <xdr:row>119</xdr:row>
      <xdr:rowOff>6602</xdr:rowOff>
    </xdr:from>
    <xdr:to>
      <xdr:col>6</xdr:col>
      <xdr:colOff>1515533</xdr:colOff>
      <xdr:row>133</xdr:row>
      <xdr:rowOff>135911</xdr:rowOff>
    </xdr:to>
    <xdr:graphicFrame macro="">
      <xdr:nvGraphicFramePr>
        <xdr:cNvPr id="20" name="Chart 19">
          <a:extLst>
            <a:ext uri="{FF2B5EF4-FFF2-40B4-BE49-F238E27FC236}">
              <a16:creationId xmlns:a16="http://schemas.microsoft.com/office/drawing/2014/main" id="{6DAC67B9-0102-4A7B-82F1-C42455EF8C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xdr:colOff>
      <xdr:row>119</xdr:row>
      <xdr:rowOff>1155</xdr:rowOff>
    </xdr:from>
    <xdr:to>
      <xdr:col>17</xdr:col>
      <xdr:colOff>770467</xdr:colOff>
      <xdr:row>135</xdr:row>
      <xdr:rowOff>39255</xdr:rowOff>
    </xdr:to>
    <xdr:graphicFrame macro="">
      <xdr:nvGraphicFramePr>
        <xdr:cNvPr id="21" name="Chart 20">
          <a:extLst>
            <a:ext uri="{FF2B5EF4-FFF2-40B4-BE49-F238E27FC236}">
              <a16:creationId xmlns:a16="http://schemas.microsoft.com/office/drawing/2014/main" id="{ED60D5F1-010F-4931-AF95-BA5ED245FE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660401</xdr:colOff>
      <xdr:row>54</xdr:row>
      <xdr:rowOff>159327</xdr:rowOff>
    </xdr:from>
    <xdr:to>
      <xdr:col>9</xdr:col>
      <xdr:colOff>694</xdr:colOff>
      <xdr:row>70</xdr:row>
      <xdr:rowOff>0</xdr:rowOff>
    </xdr:to>
    <xdr:graphicFrame macro="">
      <xdr:nvGraphicFramePr>
        <xdr:cNvPr id="23" name="Chart 22">
          <a:extLst>
            <a:ext uri="{FF2B5EF4-FFF2-40B4-BE49-F238E27FC236}">
              <a16:creationId xmlns:a16="http://schemas.microsoft.com/office/drawing/2014/main" id="{2713FD4B-CB33-4D31-B356-B49AB04544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118532</xdr:colOff>
      <xdr:row>55</xdr:row>
      <xdr:rowOff>10582</xdr:rowOff>
    </xdr:from>
    <xdr:to>
      <xdr:col>3</xdr:col>
      <xdr:colOff>8466</xdr:colOff>
      <xdr:row>70</xdr:row>
      <xdr:rowOff>25399</xdr:rowOff>
    </xdr:to>
    <xdr:graphicFrame macro="">
      <xdr:nvGraphicFramePr>
        <xdr:cNvPr id="25" name="Chart 24">
          <a:extLst>
            <a:ext uri="{FF2B5EF4-FFF2-40B4-BE49-F238E27FC236}">
              <a16:creationId xmlns:a16="http://schemas.microsoft.com/office/drawing/2014/main" id="{C10154CC-59EC-4CAB-942F-FCBE6FAE91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618067</xdr:colOff>
      <xdr:row>82</xdr:row>
      <xdr:rowOff>4233</xdr:rowOff>
    </xdr:from>
    <xdr:to>
      <xdr:col>9</xdr:col>
      <xdr:colOff>8467</xdr:colOff>
      <xdr:row>88</xdr:row>
      <xdr:rowOff>16933</xdr:rowOff>
    </xdr:to>
    <xdr:graphicFrame macro="">
      <xdr:nvGraphicFramePr>
        <xdr:cNvPr id="2" name="Chart 1">
          <a:extLst>
            <a:ext uri="{FF2B5EF4-FFF2-40B4-BE49-F238E27FC236}">
              <a16:creationId xmlns:a16="http://schemas.microsoft.com/office/drawing/2014/main" id="{DD7D3352-E211-46ED-A3EC-D575491E43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237067</xdr:colOff>
      <xdr:row>156</xdr:row>
      <xdr:rowOff>156634</xdr:rowOff>
    </xdr:from>
    <xdr:to>
      <xdr:col>6</xdr:col>
      <xdr:colOff>8467</xdr:colOff>
      <xdr:row>171</xdr:row>
      <xdr:rowOff>105834</xdr:rowOff>
    </xdr:to>
    <xdr:graphicFrame macro="">
      <xdr:nvGraphicFramePr>
        <xdr:cNvPr id="3" name="Chart 2">
          <a:extLst>
            <a:ext uri="{FF2B5EF4-FFF2-40B4-BE49-F238E27FC236}">
              <a16:creationId xmlns:a16="http://schemas.microsoft.com/office/drawing/2014/main" id="{E5CD0E15-6E34-4320-8C86-CA1F882742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31</xdr:row>
      <xdr:rowOff>182034</xdr:rowOff>
    </xdr:from>
    <xdr:to>
      <xdr:col>8</xdr:col>
      <xdr:colOff>491067</xdr:colOff>
      <xdr:row>45</xdr:row>
      <xdr:rowOff>97368</xdr:rowOff>
    </xdr:to>
    <xdr:graphicFrame macro="">
      <xdr:nvGraphicFramePr>
        <xdr:cNvPr id="7" name="Chart 6">
          <a:extLst>
            <a:ext uri="{FF2B5EF4-FFF2-40B4-BE49-F238E27FC236}">
              <a16:creationId xmlns:a16="http://schemas.microsoft.com/office/drawing/2014/main" id="{9A3E663F-C8E2-4D69-B7CD-726FD221FA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xdr:row>
      <xdr:rowOff>1</xdr:rowOff>
    </xdr:from>
    <xdr:to>
      <xdr:col>25</xdr:col>
      <xdr:colOff>42333</xdr:colOff>
      <xdr:row>27</xdr:row>
      <xdr:rowOff>8467</xdr:rowOff>
    </xdr:to>
    <xdr:graphicFrame macro="">
      <xdr:nvGraphicFramePr>
        <xdr:cNvPr id="22" name="Chart 21">
          <a:extLst>
            <a:ext uri="{FF2B5EF4-FFF2-40B4-BE49-F238E27FC236}">
              <a16:creationId xmlns:a16="http://schemas.microsoft.com/office/drawing/2014/main" id="{BA5DEA59-D22A-4D44-8202-0C7C8C195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4234</xdr:colOff>
      <xdr:row>227</xdr:row>
      <xdr:rowOff>156633</xdr:rowOff>
    </xdr:from>
    <xdr:to>
      <xdr:col>8</xdr:col>
      <xdr:colOff>198967</xdr:colOff>
      <xdr:row>237</xdr:row>
      <xdr:rowOff>186267</xdr:rowOff>
    </xdr:to>
    <xdr:graphicFrame macro="">
      <xdr:nvGraphicFramePr>
        <xdr:cNvPr id="4" name="Chart 3">
          <a:extLst>
            <a:ext uri="{FF2B5EF4-FFF2-40B4-BE49-F238E27FC236}">
              <a16:creationId xmlns:a16="http://schemas.microsoft.com/office/drawing/2014/main" id="{3D36B5BE-41B2-4612-82F8-CFFE86C311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867834</xdr:colOff>
      <xdr:row>242</xdr:row>
      <xdr:rowOff>1</xdr:rowOff>
    </xdr:from>
    <xdr:to>
      <xdr:col>8</xdr:col>
      <xdr:colOff>0</xdr:colOff>
      <xdr:row>253</xdr:row>
      <xdr:rowOff>135468</xdr:rowOff>
    </xdr:to>
    <xdr:graphicFrame macro="">
      <xdr:nvGraphicFramePr>
        <xdr:cNvPr id="5" name="Chart 4">
          <a:extLst>
            <a:ext uri="{FF2B5EF4-FFF2-40B4-BE49-F238E27FC236}">
              <a16:creationId xmlns:a16="http://schemas.microsoft.com/office/drawing/2014/main" id="{60D5C3B8-9728-40C2-8559-A5A93AD968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212725</xdr:colOff>
      <xdr:row>9</xdr:row>
      <xdr:rowOff>4234</xdr:rowOff>
    </xdr:from>
    <xdr:to>
      <xdr:col>13</xdr:col>
      <xdr:colOff>123825</xdr:colOff>
      <xdr:row>28</xdr:row>
      <xdr:rowOff>21167</xdr:rowOff>
    </xdr:to>
    <xdr:grpSp>
      <xdr:nvGrpSpPr>
        <xdr:cNvPr id="38" name="Group 37">
          <a:extLst>
            <a:ext uri="{FF2B5EF4-FFF2-40B4-BE49-F238E27FC236}">
              <a16:creationId xmlns:a16="http://schemas.microsoft.com/office/drawing/2014/main" id="{384BAA9C-81E5-4C52-8F8F-8575EB8C22DA}"/>
            </a:ext>
          </a:extLst>
        </xdr:cNvPr>
        <xdr:cNvGrpSpPr/>
      </xdr:nvGrpSpPr>
      <xdr:grpSpPr>
        <a:xfrm>
          <a:off x="5775325" y="3433234"/>
          <a:ext cx="9427633" cy="3556000"/>
          <a:chOff x="5842000" y="3115734"/>
          <a:chExt cx="9172141" cy="3556000"/>
        </a:xfrm>
      </xdr:grpSpPr>
      <xdr:grpSp>
        <xdr:nvGrpSpPr>
          <xdr:cNvPr id="15" name="Group 14">
            <a:extLst>
              <a:ext uri="{FF2B5EF4-FFF2-40B4-BE49-F238E27FC236}">
                <a16:creationId xmlns:a16="http://schemas.microsoft.com/office/drawing/2014/main" id="{08FEC448-3B83-45E3-A08C-93FCDF3ED7F8}"/>
              </a:ext>
            </a:extLst>
          </xdr:cNvPr>
          <xdr:cNvGrpSpPr/>
        </xdr:nvGrpSpPr>
        <xdr:grpSpPr>
          <a:xfrm>
            <a:off x="5842000" y="3115734"/>
            <a:ext cx="9059892" cy="3556000"/>
            <a:chOff x="6525577" y="1370663"/>
            <a:chExt cx="8720666" cy="3392594"/>
          </a:xfrm>
        </xdr:grpSpPr>
        <xdr:graphicFrame macro="">
          <xdr:nvGraphicFramePr>
            <xdr:cNvPr id="18" name="Chart 17">
              <a:extLst>
                <a:ext uri="{FF2B5EF4-FFF2-40B4-BE49-F238E27FC236}">
                  <a16:creationId xmlns:a16="http://schemas.microsoft.com/office/drawing/2014/main" id="{469F7A10-B46F-4F3F-9F6E-78A694B57D9B}"/>
                </a:ext>
              </a:extLst>
            </xdr:cNvPr>
            <xdr:cNvGraphicFramePr>
              <a:graphicFrameLocks/>
            </xdr:cNvGraphicFramePr>
          </xdr:nvGraphicFramePr>
          <xdr:xfrm>
            <a:off x="6525577" y="1370663"/>
            <a:ext cx="8720666" cy="3392594"/>
          </xdr:xfrm>
          <a:graphic>
            <a:graphicData uri="http://schemas.openxmlformats.org/drawingml/2006/chart">
              <c:chart xmlns:c="http://schemas.openxmlformats.org/drawingml/2006/chart" xmlns:r="http://schemas.openxmlformats.org/officeDocument/2006/relationships" r:id="rId14"/>
            </a:graphicData>
          </a:graphic>
        </xdr:graphicFrame>
        <xdr:sp macro="" textlink="">
          <xdr:nvSpPr>
            <xdr:cNvPr id="19" name="TextBox 18">
              <a:extLst>
                <a:ext uri="{FF2B5EF4-FFF2-40B4-BE49-F238E27FC236}">
                  <a16:creationId xmlns:a16="http://schemas.microsoft.com/office/drawing/2014/main" id="{C4ECAF8B-62DE-4ADE-A227-9EF71D22D29D}"/>
                </a:ext>
              </a:extLst>
            </xdr:cNvPr>
            <xdr:cNvSpPr txBox="1"/>
          </xdr:nvSpPr>
          <xdr:spPr>
            <a:xfrm>
              <a:off x="14194541" y="2023015"/>
              <a:ext cx="846666" cy="414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i="0" u="none" strike="noStrike" kern="1200" baseline="0">
                  <a:solidFill>
                    <a:schemeClr val="tx1">
                      <a:lumMod val="75000"/>
                      <a:lumOff val="25000"/>
                    </a:schemeClr>
                  </a:solidFill>
                  <a:latin typeface="+mn-lt"/>
                  <a:ea typeface="+mn-ea"/>
                  <a:cs typeface="+mn-cs"/>
                </a:rPr>
                <a:t>£164 bn</a:t>
              </a:r>
            </a:p>
          </xdr:txBody>
        </xdr:sp>
      </xdr:grpSp>
      <xdr:grpSp>
        <xdr:nvGrpSpPr>
          <xdr:cNvPr id="36" name="Group 35">
            <a:extLst>
              <a:ext uri="{FF2B5EF4-FFF2-40B4-BE49-F238E27FC236}">
                <a16:creationId xmlns:a16="http://schemas.microsoft.com/office/drawing/2014/main" id="{7BC5ED6D-4359-4BA5-99CC-3797E49ED1D8}"/>
              </a:ext>
            </a:extLst>
          </xdr:cNvPr>
          <xdr:cNvGrpSpPr/>
        </xdr:nvGrpSpPr>
        <xdr:grpSpPr>
          <a:xfrm>
            <a:off x="11497733" y="3318936"/>
            <a:ext cx="3516408" cy="2040464"/>
            <a:chOff x="11489267" y="3327403"/>
            <a:chExt cx="3516408" cy="2040464"/>
          </a:xfrm>
        </xdr:grpSpPr>
        <xdr:cxnSp macro="">
          <xdr:nvCxnSpPr>
            <xdr:cNvPr id="8" name="Connector: Elbow 7">
              <a:extLst>
                <a:ext uri="{FF2B5EF4-FFF2-40B4-BE49-F238E27FC236}">
                  <a16:creationId xmlns:a16="http://schemas.microsoft.com/office/drawing/2014/main" id="{A1BE4B31-3A9C-4904-A1B9-8285776526CF}"/>
                </a:ext>
              </a:extLst>
            </xdr:cNvPr>
            <xdr:cNvCxnSpPr/>
          </xdr:nvCxnSpPr>
          <xdr:spPr>
            <a:xfrm rot="16200000" flipH="1">
              <a:off x="12136969" y="4186770"/>
              <a:ext cx="2040464" cy="321730"/>
            </a:xfrm>
            <a:prstGeom prst="bentConnector3">
              <a:avLst/>
            </a:prstGeom>
            <a:ln w="28575">
              <a:prstDash val="sysDash"/>
            </a:ln>
          </xdr:spPr>
          <xdr:style>
            <a:lnRef idx="1">
              <a:schemeClr val="dk1"/>
            </a:lnRef>
            <a:fillRef idx="0">
              <a:schemeClr val="dk1"/>
            </a:fillRef>
            <a:effectRef idx="0">
              <a:schemeClr val="dk1"/>
            </a:effectRef>
            <a:fontRef idx="minor">
              <a:schemeClr val="tx1"/>
            </a:fontRef>
          </xdr:style>
        </xdr:cxnSp>
        <xdr:grpSp>
          <xdr:nvGrpSpPr>
            <xdr:cNvPr id="27" name="Group 26">
              <a:extLst>
                <a:ext uri="{FF2B5EF4-FFF2-40B4-BE49-F238E27FC236}">
                  <a16:creationId xmlns:a16="http://schemas.microsoft.com/office/drawing/2014/main" id="{1DE67070-F533-42F1-B7F1-CB3237AC65AD}"/>
                </a:ext>
              </a:extLst>
            </xdr:cNvPr>
            <xdr:cNvGrpSpPr/>
          </xdr:nvGrpSpPr>
          <xdr:grpSpPr>
            <a:xfrm>
              <a:off x="11489267" y="3344334"/>
              <a:ext cx="3516408" cy="1706223"/>
              <a:chOff x="11463867" y="3302000"/>
              <a:chExt cx="3516408" cy="1706223"/>
            </a:xfrm>
          </xdr:grpSpPr>
          <xdr:sp macro="" textlink="">
            <xdr:nvSpPr>
              <xdr:cNvPr id="17" name="TextBox 16">
                <a:extLst>
                  <a:ext uri="{FF2B5EF4-FFF2-40B4-BE49-F238E27FC236}">
                    <a16:creationId xmlns:a16="http://schemas.microsoft.com/office/drawing/2014/main" id="{5469D61E-C6CF-425D-BBF8-F2C2AAF91329}"/>
                  </a:ext>
                </a:extLst>
              </xdr:cNvPr>
              <xdr:cNvSpPr txBox="1"/>
            </xdr:nvSpPr>
            <xdr:spPr>
              <a:xfrm>
                <a:off x="14232615" y="4635495"/>
                <a:ext cx="747660" cy="372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i="0" u="none" strike="noStrike" kern="1200" baseline="0">
                    <a:solidFill>
                      <a:schemeClr val="tx1">
                        <a:lumMod val="75000"/>
                        <a:lumOff val="25000"/>
                      </a:schemeClr>
                    </a:solidFill>
                    <a:latin typeface="+mn-lt"/>
                    <a:ea typeface="+mn-ea"/>
                    <a:cs typeface="+mn-cs"/>
                  </a:rPr>
                  <a:t>£175</a:t>
                </a:r>
              </a:p>
              <a:p>
                <a:endParaRPr lang="en-AU" sz="1200" b="1" i="0" u="none" strike="noStrike" kern="1200" baseline="0">
                  <a:solidFill>
                    <a:schemeClr val="tx1">
                      <a:lumMod val="75000"/>
                      <a:lumOff val="25000"/>
                    </a:schemeClr>
                  </a:solidFill>
                  <a:latin typeface="+mn-lt"/>
                  <a:ea typeface="+mn-ea"/>
                  <a:cs typeface="+mn-cs"/>
                </a:endParaRPr>
              </a:p>
            </xdr:txBody>
          </xdr:sp>
          <xdr:sp macro="" textlink="">
            <xdr:nvSpPr>
              <xdr:cNvPr id="13" name="TextBox 12">
                <a:extLst>
                  <a:ext uri="{FF2B5EF4-FFF2-40B4-BE49-F238E27FC236}">
                    <a16:creationId xmlns:a16="http://schemas.microsoft.com/office/drawing/2014/main" id="{7EA08B5B-5C0A-4279-8B82-9F75BE59DFDA}"/>
                  </a:ext>
                </a:extLst>
              </xdr:cNvPr>
              <xdr:cNvSpPr txBox="1"/>
            </xdr:nvSpPr>
            <xdr:spPr>
              <a:xfrm>
                <a:off x="11463867" y="3302000"/>
                <a:ext cx="1481667" cy="28786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tx1">
                        <a:lumMod val="75000"/>
                        <a:lumOff val="25000"/>
                      </a:schemeClr>
                    </a:solidFill>
                  </a:rPr>
                  <a:t>Manufactured</a:t>
                </a:r>
                <a:r>
                  <a:rPr lang="en-AU" sz="1100" b="1" baseline="0">
                    <a:solidFill>
                      <a:schemeClr val="tx1">
                        <a:lumMod val="75000"/>
                        <a:lumOff val="25000"/>
                      </a:schemeClr>
                    </a:solidFill>
                  </a:rPr>
                  <a:t> goods</a:t>
                </a:r>
                <a:endParaRPr lang="en-AU" sz="1100" b="1">
                  <a:solidFill>
                    <a:schemeClr val="tx1">
                      <a:lumMod val="75000"/>
                      <a:lumOff val="25000"/>
                    </a:schemeClr>
                  </a:solidFill>
                </a:endParaRPr>
              </a:p>
            </xdr:txBody>
          </xdr:sp>
          <xdr:sp macro="" textlink="">
            <xdr:nvSpPr>
              <xdr:cNvPr id="26" name="TextBox 25">
                <a:extLst>
                  <a:ext uri="{FF2B5EF4-FFF2-40B4-BE49-F238E27FC236}">
                    <a16:creationId xmlns:a16="http://schemas.microsoft.com/office/drawing/2014/main" id="{1D893917-7C90-4223-ACE9-23297AC08157}"/>
                  </a:ext>
                </a:extLst>
              </xdr:cNvPr>
              <xdr:cNvSpPr txBox="1"/>
            </xdr:nvSpPr>
            <xdr:spPr>
              <a:xfrm>
                <a:off x="13114867" y="3310467"/>
                <a:ext cx="1710266" cy="28786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tx1">
                        <a:lumMod val="75000"/>
                        <a:lumOff val="25000"/>
                      </a:schemeClr>
                    </a:solidFill>
                  </a:rPr>
                  <a:t>Non-manufactured</a:t>
                </a:r>
                <a:r>
                  <a:rPr lang="en-AU" sz="1100" b="1" baseline="0">
                    <a:solidFill>
                      <a:schemeClr val="tx1">
                        <a:lumMod val="75000"/>
                        <a:lumOff val="25000"/>
                      </a:schemeClr>
                    </a:solidFill>
                  </a:rPr>
                  <a:t> goods</a:t>
                </a:r>
                <a:endParaRPr lang="en-AU" sz="1100" b="1">
                  <a:solidFill>
                    <a:schemeClr val="tx1">
                      <a:lumMod val="75000"/>
                      <a:lumOff val="25000"/>
                    </a:schemeClr>
                  </a:solidFill>
                </a:endParaRPr>
              </a:p>
            </xdr:txBody>
          </xdr:sp>
        </xdr:grpSp>
      </xdr:grpSp>
    </xdr:grpSp>
    <xdr:clientData/>
  </xdr:twoCellAnchor>
  <xdr:twoCellAnchor>
    <xdr:from>
      <xdr:col>22</xdr:col>
      <xdr:colOff>0</xdr:colOff>
      <xdr:row>119</xdr:row>
      <xdr:rowOff>0</xdr:rowOff>
    </xdr:from>
    <xdr:to>
      <xdr:col>31</xdr:col>
      <xdr:colOff>440267</xdr:colOff>
      <xdr:row>133</xdr:row>
      <xdr:rowOff>0</xdr:rowOff>
    </xdr:to>
    <xdr:graphicFrame macro="">
      <xdr:nvGraphicFramePr>
        <xdr:cNvPr id="28" name="Chart 27">
          <a:extLst>
            <a:ext uri="{FF2B5EF4-FFF2-40B4-BE49-F238E27FC236}">
              <a16:creationId xmlns:a16="http://schemas.microsoft.com/office/drawing/2014/main" id="{4D1770C7-ED7C-4FAE-94E2-B9A99A959C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122767</xdr:colOff>
      <xdr:row>262</xdr:row>
      <xdr:rowOff>160866</xdr:rowOff>
    </xdr:from>
    <xdr:to>
      <xdr:col>3</xdr:col>
      <xdr:colOff>12700</xdr:colOff>
      <xdr:row>278</xdr:row>
      <xdr:rowOff>101600</xdr:rowOff>
    </xdr:to>
    <xdr:graphicFrame macro="">
      <xdr:nvGraphicFramePr>
        <xdr:cNvPr id="6" name="Chart 5">
          <a:extLst>
            <a:ext uri="{FF2B5EF4-FFF2-40B4-BE49-F238E27FC236}">
              <a16:creationId xmlns:a16="http://schemas.microsoft.com/office/drawing/2014/main" id="{CA5DB90B-BE8F-4A18-A2C7-38E3CB4BC9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12698</xdr:colOff>
      <xdr:row>324</xdr:row>
      <xdr:rowOff>8468</xdr:rowOff>
    </xdr:from>
    <xdr:to>
      <xdr:col>9</xdr:col>
      <xdr:colOff>745066</xdr:colOff>
      <xdr:row>338</xdr:row>
      <xdr:rowOff>143935</xdr:rowOff>
    </xdr:to>
    <xdr:graphicFrame macro="">
      <xdr:nvGraphicFramePr>
        <xdr:cNvPr id="11" name="Chart 10">
          <a:extLst>
            <a:ext uri="{FF2B5EF4-FFF2-40B4-BE49-F238E27FC236}">
              <a16:creationId xmlns:a16="http://schemas.microsoft.com/office/drawing/2014/main" id="{19DCADBC-BC2E-472D-9551-E22600298C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ivitas.org.uk/content/files/itsquiteoktowalkaway.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ons.gov.uk/economy/nationalaccounts/balanceofpayments/adhocs/007777tradeinservicesexportsandimportsbytypeofservice2014to2016" TargetMode="External"/><Relationship Id="rId3" Type="http://schemas.openxmlformats.org/officeDocument/2006/relationships/hyperlink" Target="https://www.gov.uk/government/uploads/system/uploads/attachment_data/file/696904/GDP_Deflators_Qtrly_National_Accounts_March_2018.csv/preview" TargetMode="External"/><Relationship Id="rId7" Type="http://schemas.openxmlformats.org/officeDocument/2006/relationships/hyperlink" Target="https://www.ons.gov.uk/economy/nationalaccounts/balanceofpayments/timeseries/l855/pnbp" TargetMode="External"/><Relationship Id="rId2" Type="http://schemas.openxmlformats.org/officeDocument/2006/relationships/hyperlink" Target="https://www.ons.gov.uk/economy/grossdomesticproductgdp/timeseries/ybfz/ukea" TargetMode="External"/><Relationship Id="rId1" Type="http://schemas.openxmlformats.org/officeDocument/2006/relationships/hyperlink" Target="https://www.ons.gov.uk/economy/grossdomesticproductgdp/timeseries/ybfw/ukea" TargetMode="External"/><Relationship Id="rId6" Type="http://schemas.openxmlformats.org/officeDocument/2006/relationships/hyperlink" Target="https://www.ons.gov.uk/economy/nationalaccounts/balanceofpayments/timeseries/l854/pnbp" TargetMode="External"/><Relationship Id="rId11" Type="http://schemas.openxmlformats.org/officeDocument/2006/relationships/drawing" Target="../drawings/drawing7.xml"/><Relationship Id="rId5" Type="http://schemas.openxmlformats.org/officeDocument/2006/relationships/hyperlink" Target="https://www.ons.gov.uk/economy/nationalaccounts/balanceofpayments/timeseries/l868/pnbp" TargetMode="External"/><Relationship Id="rId10" Type="http://schemas.openxmlformats.org/officeDocument/2006/relationships/printerSettings" Target="../printerSettings/printerSettings2.bin"/><Relationship Id="rId4" Type="http://schemas.openxmlformats.org/officeDocument/2006/relationships/hyperlink" Target="https://www.ons.gov.uk/economy/nationalaccounts/balanceofpayments/timeseries/l869/ukea" TargetMode="External"/><Relationship Id="rId9" Type="http://schemas.openxmlformats.org/officeDocument/2006/relationships/hyperlink" Target="https://www.ons.gov.uk/economy/nationalaccounts/balanceofpayments/timeseries/l865/ukea"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uploads/system/uploads/attachment_data/file/696904/GDP_Deflators_Qtrly_National_Accounts_March_2018.csv/preview" TargetMode="External"/><Relationship Id="rId13" Type="http://schemas.openxmlformats.org/officeDocument/2006/relationships/hyperlink" Target="https://www.ons.gov.uk/economy/grossdomesticproductgdp/timeseries/l87n/ukea" TargetMode="External"/><Relationship Id="rId18" Type="http://schemas.openxmlformats.org/officeDocument/2006/relationships/hyperlink" Target="https://www.bls.gov/charts/import-export/us-import-and-export-price-indexes-12-month-percent-change.htm" TargetMode="External"/><Relationship Id="rId26" Type="http://schemas.openxmlformats.org/officeDocument/2006/relationships/printerSettings" Target="../printerSettings/printerSettings3.bin"/><Relationship Id="rId3" Type="http://schemas.openxmlformats.org/officeDocument/2006/relationships/hyperlink" Target="https://tradingeconomics.com/united-kingdom/gdp-growth-annual" TargetMode="External"/><Relationship Id="rId21" Type="http://schemas.openxmlformats.org/officeDocument/2006/relationships/hyperlink" Target="https://fred.stlouisfed.org/series/A253RD3Q086SBEA" TargetMode="External"/><Relationship Id="rId7" Type="http://schemas.openxmlformats.org/officeDocument/2006/relationships/hyperlink" Target="https://www.census.gov/foreign-trade/balance/c5700.html" TargetMode="External"/><Relationship Id="rId12" Type="http://schemas.openxmlformats.org/officeDocument/2006/relationships/hyperlink" Target="https://www.ons.gov.uk/economy/grossdomesticproductgdp/timeseries/l87l/ukea" TargetMode="External"/><Relationship Id="rId17" Type="http://schemas.openxmlformats.org/officeDocument/2006/relationships/hyperlink" Target="https://www.census.gov/foreign-trade/balance/c0003.html" TargetMode="External"/><Relationship Id="rId25" Type="http://schemas.openxmlformats.org/officeDocument/2006/relationships/hyperlink" Target="https://www.civitas.org.uk/content/files/itsquiteoktowalkaway.pdf" TargetMode="External"/><Relationship Id="rId2" Type="http://schemas.openxmlformats.org/officeDocument/2006/relationships/hyperlink" Target="http://ec.europa.eu/eurostat/statistics-explained/index.php/Intra-EU_trade_in_goods_-_recent_trends" TargetMode="External"/><Relationship Id="rId16" Type="http://schemas.openxmlformats.org/officeDocument/2006/relationships/hyperlink" Target="https://www.ons.gov.uk/employmentandlabourmarket/peopleinwork/labourproductivity/timeseries/lzvd/prdy" TargetMode="External"/><Relationship Id="rId20" Type="http://schemas.openxmlformats.org/officeDocument/2006/relationships/hyperlink" Target="https://www.bls.gov/charts/import-export/us-import-and-export-price-indexes-12-month-percent-change.htm" TargetMode="External"/><Relationship Id="rId1" Type="http://schemas.openxmlformats.org/officeDocument/2006/relationships/hyperlink" Target="https://tradingeconomics.com/euro-area/gdp-growth" TargetMode="External"/><Relationship Id="rId6" Type="http://schemas.openxmlformats.org/officeDocument/2006/relationships/hyperlink" Target="https://fas.org/sgp/crs/row/RL33536.pdf" TargetMode="External"/><Relationship Id="rId11" Type="http://schemas.openxmlformats.org/officeDocument/2006/relationships/hyperlink" Target="https://www.ons.gov.uk/economy/nationalaccounts/balanceofpayments/timeseries/l87s/ukea" TargetMode="External"/><Relationship Id="rId24" Type="http://schemas.openxmlformats.org/officeDocument/2006/relationships/hyperlink" Target="https://www.poundsterlinglive.com/bank-of-england-spot/historical-spot-exchange-rates/gbp/GBP-to-USD-1998" TargetMode="External"/><Relationship Id="rId5" Type="http://schemas.openxmlformats.org/officeDocument/2006/relationships/hyperlink" Target="https://www.ons.gov.uk/economy/grossdomesticproductgdp/timeseries/ybfz/ukea" TargetMode="External"/><Relationship Id="rId15" Type="http://schemas.openxmlformats.org/officeDocument/2006/relationships/hyperlink" Target="https://www.ons.gov.uk/economy/nationalaccounts/balanceofpayments/datasets/publicationtablesuktradecpa08" TargetMode="External"/><Relationship Id="rId23" Type="http://schemas.openxmlformats.org/officeDocument/2006/relationships/hyperlink" Target="https://www.ons.gov.uk/economy/grossdomesticproductgdp/timeseries/ihyp/pn2" TargetMode="External"/><Relationship Id="rId10" Type="http://schemas.openxmlformats.org/officeDocument/2006/relationships/hyperlink" Target="https://www.ons.gov.uk/economy/nationalaccounts/balanceofpayments/timeseries/l87s/pnbp" TargetMode="External"/><Relationship Id="rId19" Type="http://schemas.openxmlformats.org/officeDocument/2006/relationships/hyperlink" Target="https://tradingeconomics.com/euro-area/gdp-growth" TargetMode="External"/><Relationship Id="rId4" Type="http://schemas.openxmlformats.org/officeDocument/2006/relationships/hyperlink" Target="https://www.ons.gov.uk/economy/grossdomesticproductgdp/timeseries/ybfw/ukea" TargetMode="External"/><Relationship Id="rId9" Type="http://schemas.openxmlformats.org/officeDocument/2006/relationships/hyperlink" Target="https://www.ons.gov.uk/economy/nationalaccounts/balanceofpayments/timeseries/l87s/pnbp" TargetMode="External"/><Relationship Id="rId14" Type="http://schemas.openxmlformats.org/officeDocument/2006/relationships/hyperlink" Target="https://www.ons.gov.uk/economy/nationalaccounts/balanceofpayments/timeseries/l87u/mret" TargetMode="External"/><Relationship Id="rId22" Type="http://schemas.openxmlformats.org/officeDocument/2006/relationships/hyperlink" Target="https://tradingeconomics.com/united-kingdom/gdp-growth-annual" TargetMode="External"/><Relationship Id="rId27" Type="http://schemas.openxmlformats.org/officeDocument/2006/relationships/drawing" Target="../drawings/drawing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ons.gov.uk/economy/grossdomesticproductgdp/timeseries/ybfz/ukea" TargetMode="External"/><Relationship Id="rId3" Type="http://schemas.openxmlformats.org/officeDocument/2006/relationships/hyperlink" Target="https://www.ons.gov.uk/economy/nationalaccounts/balanceofpayments/timeseries/l855/pnbp" TargetMode="External"/><Relationship Id="rId7" Type="http://schemas.openxmlformats.org/officeDocument/2006/relationships/hyperlink" Target="https://www.ons.gov.uk/economy/grossdomesticproductgdp/timeseries/ybfw/ukea" TargetMode="External"/><Relationship Id="rId2" Type="http://schemas.openxmlformats.org/officeDocument/2006/relationships/hyperlink" Target="https://www.ons.gov.uk/economy/nationalaccounts/balanceofpayments/timeseries/fdyi/pnbp" TargetMode="External"/><Relationship Id="rId1" Type="http://schemas.openxmlformats.org/officeDocument/2006/relationships/hyperlink" Target="https://www.ons.gov.uk/economy/nationalaccounts/balanceofpayments/bulletins/uktrade/dec2016" TargetMode="External"/><Relationship Id="rId6" Type="http://schemas.openxmlformats.org/officeDocument/2006/relationships/hyperlink" Target="https://www.ons.gov.uk/economy/nationalaccounts/balanceofpayments/timeseries/l854/pnbp" TargetMode="External"/><Relationship Id="rId5" Type="http://schemas.openxmlformats.org/officeDocument/2006/relationships/hyperlink" Target="https://www.ons.gov.uk/economy/nationalaccounts/balanceofpayments/timeseries/l855/pnbp" TargetMode="External"/><Relationship Id="rId4" Type="http://schemas.openxmlformats.org/officeDocument/2006/relationships/hyperlink" Target="https://www.ons.gov.uk/economy/nationalaccounts/balanceofpayments/timeseries/l854/pnbp" TargetMode="External"/><Relationship Id="rId9" Type="http://schemas.openxmlformats.org/officeDocument/2006/relationships/drawing" Target="../drawings/drawing10.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bin"/><Relationship Id="rId1" Type="http://schemas.openxmlformats.org/officeDocument/2006/relationships/hyperlink" Target="https://www.ons.gov.uk/economy/grossdomesticproductgdp/timeseries/l87l/ukea"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ons.gov.uk/economy/nationalaccounts/balanceofpayments/bulletins/uktrade/dec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9"/>
  <sheetViews>
    <sheetView tabSelected="1" zoomScale="95" zoomScaleNormal="95" workbookViewId="0">
      <selection activeCell="K12" sqref="K12"/>
    </sheetView>
  </sheetViews>
  <sheetFormatPr defaultRowHeight="14.4" x14ac:dyDescent="0.3"/>
  <cols>
    <col min="1" max="1" width="47.109375" customWidth="1"/>
    <col min="2" max="2" width="15.6640625" customWidth="1"/>
    <col min="3" max="3" width="15.5546875" customWidth="1"/>
    <col min="4" max="4" width="16.21875" customWidth="1"/>
    <col min="5" max="5" width="12.33203125" customWidth="1"/>
    <col min="6" max="6" width="18.5546875" customWidth="1"/>
    <col min="7" max="7" width="13.88671875" customWidth="1"/>
    <col min="8" max="8" width="10.33203125" customWidth="1"/>
    <col min="9" max="9" width="13" customWidth="1"/>
    <col min="18" max="18" width="12" bestFit="1" customWidth="1"/>
    <col min="22" max="22" width="14.109375" customWidth="1"/>
    <col min="23" max="24" width="12.33203125" customWidth="1"/>
  </cols>
  <sheetData>
    <row r="1" spans="1:14" s="157" customFormat="1" ht="39.6" customHeight="1" x14ac:dyDescent="0.4">
      <c r="A1" s="157" t="s">
        <v>153</v>
      </c>
    </row>
    <row r="2" spans="1:14" s="157" customFormat="1" ht="90.6" customHeight="1" x14ac:dyDescent="0.4">
      <c r="A2" s="672" t="s">
        <v>775</v>
      </c>
      <c r="B2" s="672"/>
      <c r="C2" s="672"/>
      <c r="D2" s="672"/>
      <c r="E2" s="672"/>
      <c r="F2" s="672"/>
      <c r="G2" s="672"/>
      <c r="H2" s="672"/>
      <c r="I2" s="672"/>
      <c r="J2" s="672"/>
    </row>
    <row r="3" spans="1:14" s="91" customFormat="1" x14ac:dyDescent="0.3">
      <c r="A3" s="135" t="s">
        <v>739</v>
      </c>
      <c r="C3" s="6"/>
    </row>
    <row r="4" spans="1:14" x14ac:dyDescent="0.3">
      <c r="A4" s="373" t="s">
        <v>518</v>
      </c>
    </row>
    <row r="5" spans="1:14" s="91" customFormat="1" ht="18.600000000000001" thickBot="1" x14ac:dyDescent="0.4">
      <c r="A5" s="95" t="s">
        <v>495</v>
      </c>
      <c r="B5" s="83"/>
      <c r="C5" s="6"/>
    </row>
    <row r="6" spans="1:14" s="91" customFormat="1" x14ac:dyDescent="0.3">
      <c r="A6" s="299" t="s">
        <v>216</v>
      </c>
      <c r="B6" s="377" t="s">
        <v>137</v>
      </c>
      <c r="C6" s="377" t="s">
        <v>64</v>
      </c>
      <c r="D6" s="301" t="s">
        <v>332</v>
      </c>
      <c r="E6" s="271"/>
      <c r="F6" s="191" t="s">
        <v>217</v>
      </c>
      <c r="G6" s="125" t="s">
        <v>137</v>
      </c>
      <c r="H6" s="172" t="s">
        <v>64</v>
      </c>
    </row>
    <row r="7" spans="1:14" s="91" customFormat="1" x14ac:dyDescent="0.3">
      <c r="A7" s="308" t="s">
        <v>493</v>
      </c>
      <c r="B7" s="378">
        <f>'3. Trade in Goods'!U177/1000</f>
        <v>164.08099999999999</v>
      </c>
      <c r="C7" s="378">
        <f>'3. Trade in Goods'!U183/1000</f>
        <v>174.65799999999999</v>
      </c>
      <c r="D7" s="340">
        <f>B7+C7</f>
        <v>338.73899999999998</v>
      </c>
      <c r="E7" s="18"/>
      <c r="F7" s="70" t="s">
        <v>214</v>
      </c>
      <c r="G7" s="655">
        <f>'3. Trade in Goods'!U179/1000</f>
        <v>-94.725999999999999</v>
      </c>
      <c r="H7" s="375">
        <f>'3. Trade in Goods'!U185/1000</f>
        <v>-42.308999999999997</v>
      </c>
      <c r="J7" s="611">
        <f>G7+G8</f>
        <v>-58.292000000000002</v>
      </c>
      <c r="N7" s="617"/>
    </row>
    <row r="8" spans="1:14" s="91" customFormat="1" x14ac:dyDescent="0.3">
      <c r="A8" s="308" t="s">
        <v>494</v>
      </c>
      <c r="B8" s="378">
        <f>'2. Trade in Services'!T188</f>
        <v>117.05</v>
      </c>
      <c r="C8" s="378">
        <f>'2. Trade in Services'!T193</f>
        <v>161.97399999999999</v>
      </c>
      <c r="D8" s="340">
        <f>C8+B8</f>
        <v>279.024</v>
      </c>
      <c r="E8" s="617"/>
      <c r="F8" s="144" t="s">
        <v>215</v>
      </c>
      <c r="G8" s="656">
        <f>'2. Trade in Services'!T190</f>
        <v>36.433999999999997</v>
      </c>
      <c r="H8" s="376">
        <f>'2. Trade in Services'!T195</f>
        <v>77.86099999999999</v>
      </c>
      <c r="N8" s="617"/>
    </row>
    <row r="9" spans="1:14" s="91" customFormat="1" ht="15" thickBot="1" x14ac:dyDescent="0.35">
      <c r="A9" s="341" t="s">
        <v>174</v>
      </c>
      <c r="B9" s="380">
        <f>B7+B8</f>
        <v>281.13099999999997</v>
      </c>
      <c r="C9" s="379">
        <f>C7+C8</f>
        <v>336.63199999999995</v>
      </c>
      <c r="D9" s="342">
        <f>D7+D8</f>
        <v>617.76299999999992</v>
      </c>
      <c r="F9" s="341" t="s">
        <v>779</v>
      </c>
      <c r="G9" s="380">
        <f>G7+G8</f>
        <v>-58.292000000000002</v>
      </c>
      <c r="H9" s="654">
        <f>H7+H8</f>
        <v>35.551999999999992</v>
      </c>
      <c r="N9" s="10"/>
    </row>
    <row r="10" spans="1:14" s="91" customFormat="1" ht="15" thickBot="1" x14ac:dyDescent="0.35">
      <c r="A10" s="343" t="s">
        <v>460</v>
      </c>
      <c r="B10" s="403">
        <f>B9/D9</f>
        <v>0.45507905135140825</v>
      </c>
      <c r="C10" s="404">
        <f>C9/D9</f>
        <v>0.54492094864859175</v>
      </c>
    </row>
    <row r="11" spans="1:14" s="91" customFormat="1" x14ac:dyDescent="0.3">
      <c r="A11" s="45"/>
      <c r="B11" s="83"/>
      <c r="C11" s="6"/>
    </row>
    <row r="12" spans="1:14" s="91" customFormat="1" x14ac:dyDescent="0.3">
      <c r="A12" s="45"/>
      <c r="B12" s="83" t="e">
        <f>#REF!+#REF!</f>
        <v>#REF!</v>
      </c>
      <c r="C12" s="6"/>
    </row>
    <row r="13" spans="1:14" s="91" customFormat="1" x14ac:dyDescent="0.3">
      <c r="A13" s="45"/>
      <c r="B13" s="83"/>
      <c r="C13" s="6"/>
    </row>
    <row r="14" spans="1:14" s="91" customFormat="1" x14ac:dyDescent="0.3">
      <c r="A14" s="45"/>
      <c r="B14" s="83"/>
      <c r="C14" s="6"/>
    </row>
    <row r="15" spans="1:14" s="91" customFormat="1" x14ac:dyDescent="0.3">
      <c r="A15" s="45"/>
      <c r="B15" s="83"/>
      <c r="C15" s="6"/>
    </row>
    <row r="16" spans="1:14" s="91" customFormat="1" x14ac:dyDescent="0.3">
      <c r="A16" s="45"/>
      <c r="B16" s="83"/>
      <c r="C16" s="6"/>
    </row>
    <row r="17" spans="1:4" s="91" customFormat="1" x14ac:dyDescent="0.3">
      <c r="A17" s="45"/>
      <c r="B17" s="83"/>
      <c r="C17" s="6"/>
    </row>
    <row r="18" spans="1:4" s="91" customFormat="1" x14ac:dyDescent="0.3">
      <c r="B18" s="9"/>
      <c r="C18" s="9"/>
    </row>
    <row r="19" spans="1:4" s="91" customFormat="1" x14ac:dyDescent="0.3"/>
    <row r="20" spans="1:4" s="91" customFormat="1" x14ac:dyDescent="0.3">
      <c r="A20" s="45"/>
      <c r="B20" s="83"/>
      <c r="C20" s="6"/>
    </row>
    <row r="21" spans="1:4" s="91" customFormat="1" x14ac:dyDescent="0.3">
      <c r="A21" s="45"/>
      <c r="B21" s="83"/>
      <c r="C21" s="6"/>
    </row>
    <row r="22" spans="1:4" s="91" customFormat="1" x14ac:dyDescent="0.3">
      <c r="A22" s="45"/>
      <c r="B22" s="83"/>
      <c r="C22" s="6"/>
    </row>
    <row r="23" spans="1:4" s="91" customFormat="1" x14ac:dyDescent="0.3">
      <c r="A23" s="45"/>
      <c r="B23" s="83"/>
      <c r="C23" s="6"/>
    </row>
    <row r="24" spans="1:4" s="91" customFormat="1" x14ac:dyDescent="0.3">
      <c r="A24" s="45"/>
      <c r="B24" s="83"/>
      <c r="C24" s="6"/>
    </row>
    <row r="25" spans="1:4" s="91" customFormat="1" x14ac:dyDescent="0.3">
      <c r="A25" s="45"/>
      <c r="B25" s="83"/>
      <c r="C25" s="6"/>
    </row>
    <row r="26" spans="1:4" s="500" customFormat="1" ht="18" x14ac:dyDescent="0.35">
      <c r="A26" s="95" t="s">
        <v>727</v>
      </c>
      <c r="B26" s="83"/>
      <c r="C26" s="6"/>
    </row>
    <row r="27" spans="1:4" s="500" customFormat="1" x14ac:dyDescent="0.3">
      <c r="A27" s="45" t="s">
        <v>733</v>
      </c>
      <c r="B27" s="83"/>
      <c r="C27" s="6"/>
      <c r="D27" s="92" t="s">
        <v>275</v>
      </c>
    </row>
    <row r="28" spans="1:4" s="500" customFormat="1" ht="30" customHeight="1" x14ac:dyDescent="0.3">
      <c r="A28" s="675" t="s">
        <v>781</v>
      </c>
      <c r="B28" s="675"/>
      <c r="C28" s="675"/>
      <c r="D28" s="92"/>
    </row>
    <row r="29" spans="1:4" s="500" customFormat="1" x14ac:dyDescent="0.3">
      <c r="A29" s="675"/>
      <c r="B29" s="675"/>
      <c r="C29" s="675"/>
      <c r="D29" s="92"/>
    </row>
    <row r="30" spans="1:4" s="500" customFormat="1" x14ac:dyDescent="0.3">
      <c r="A30" s="45"/>
      <c r="B30" s="83"/>
      <c r="C30" s="6"/>
      <c r="D30" s="92"/>
    </row>
    <row r="31" spans="1:4" s="500" customFormat="1" ht="14.4" customHeight="1" thickBot="1" x14ac:dyDescent="0.35">
      <c r="A31" s="45"/>
      <c r="B31" s="83"/>
      <c r="C31" s="6"/>
      <c r="D31" s="92"/>
    </row>
    <row r="32" spans="1:4" s="500" customFormat="1" ht="15" thickBot="1" x14ac:dyDescent="0.35">
      <c r="A32" s="662" t="s">
        <v>782</v>
      </c>
      <c r="B32" s="663" t="s">
        <v>732</v>
      </c>
      <c r="C32" s="664" t="s">
        <v>731</v>
      </c>
    </row>
    <row r="33" spans="1:10" s="500" customFormat="1" x14ac:dyDescent="0.3">
      <c r="A33" s="489" t="s">
        <v>786</v>
      </c>
      <c r="B33" s="628">
        <f>'2. Trade in Services'!V199</f>
        <v>0.39707324277283379</v>
      </c>
      <c r="C33" s="665">
        <f>'3. Trade in Goods'!W188</f>
        <v>0.47589214928694273</v>
      </c>
    </row>
    <row r="34" spans="1:10" s="500" customFormat="1" ht="14.4" customHeight="1" x14ac:dyDescent="0.3">
      <c r="A34" s="489" t="s">
        <v>784</v>
      </c>
      <c r="B34" s="660">
        <v>7.1999999999999995E-2</v>
      </c>
      <c r="C34" s="666">
        <v>8.1000000000000003E-2</v>
      </c>
      <c r="D34" s="674"/>
      <c r="E34" s="674"/>
      <c r="F34" s="674"/>
      <c r="G34" s="674"/>
      <c r="H34" s="674"/>
      <c r="I34" s="674"/>
    </row>
    <row r="35" spans="1:10" s="91" customFormat="1" x14ac:dyDescent="0.3">
      <c r="A35" s="489" t="s">
        <v>783</v>
      </c>
      <c r="B35" s="659">
        <v>1.7999999999999999E-2</v>
      </c>
      <c r="C35" s="666">
        <v>6.0999999999999999E-2</v>
      </c>
      <c r="D35" s="674"/>
      <c r="E35" s="674"/>
      <c r="F35" s="674"/>
      <c r="G35" s="674"/>
      <c r="H35" s="674"/>
      <c r="I35" s="674"/>
    </row>
    <row r="36" spans="1:10" s="500" customFormat="1" ht="15" thickBot="1" x14ac:dyDescent="0.35">
      <c r="A36" s="489" t="s">
        <v>785</v>
      </c>
      <c r="B36" s="661">
        <f>1-(B33+B34+B35)</f>
        <v>0.51292675722716619</v>
      </c>
      <c r="C36" s="667">
        <f>1-(C33+C34+C35)</f>
        <v>0.38210785071305731</v>
      </c>
      <c r="D36" s="674"/>
      <c r="E36" s="674"/>
      <c r="F36" s="674"/>
      <c r="G36" s="674"/>
      <c r="H36" s="674"/>
      <c r="I36" s="674"/>
    </row>
    <row r="37" spans="1:10" s="500" customFormat="1" ht="15" thickBot="1" x14ac:dyDescent="0.35">
      <c r="A37" s="668" t="s">
        <v>738</v>
      </c>
      <c r="B37" s="669">
        <f>1-(B34+B35)/(B34+B35+B36)</f>
        <v>0.85072813750395482</v>
      </c>
      <c r="C37" s="670">
        <f>C36/(C34+C35+C36)</f>
        <v>0.72906339829329658</v>
      </c>
    </row>
    <row r="38" spans="1:10" s="500" customFormat="1" x14ac:dyDescent="0.3">
      <c r="A38" s="45"/>
      <c r="B38" s="83"/>
      <c r="C38" s="6"/>
    </row>
    <row r="39" spans="1:10" s="91" customFormat="1" ht="22.8" customHeight="1" x14ac:dyDescent="0.35">
      <c r="A39" s="95" t="s">
        <v>735</v>
      </c>
      <c r="B39" s="83"/>
      <c r="C39" s="6"/>
    </row>
    <row r="40" spans="1:10" s="91" customFormat="1" ht="63.6" customHeight="1" x14ac:dyDescent="0.3">
      <c r="A40" s="673" t="s">
        <v>597</v>
      </c>
      <c r="B40" s="673"/>
      <c r="C40" s="673"/>
      <c r="D40" s="673"/>
      <c r="E40" s="673"/>
      <c r="F40" s="673"/>
      <c r="G40" s="673"/>
      <c r="H40" s="673"/>
      <c r="I40" s="673"/>
      <c r="J40" s="673"/>
    </row>
    <row r="41" spans="1:10" ht="28.8" x14ac:dyDescent="0.3">
      <c r="A41" s="312" t="s">
        <v>472</v>
      </c>
      <c r="B41" s="313" t="s">
        <v>569</v>
      </c>
    </row>
    <row r="42" spans="1:10" x14ac:dyDescent="0.3">
      <c r="A42" s="70" t="s">
        <v>598</v>
      </c>
      <c r="B42" s="196">
        <f>'2. Trade in Services'!C118</f>
        <v>5.5755152274452824E-2</v>
      </c>
    </row>
    <row r="43" spans="1:10" x14ac:dyDescent="0.3">
      <c r="A43" s="70" t="s">
        <v>599</v>
      </c>
      <c r="B43" s="196">
        <f>'2. Trade in Services'!B118</f>
        <v>5.2002671047515214E-2</v>
      </c>
    </row>
    <row r="44" spans="1:10" x14ac:dyDescent="0.3">
      <c r="A44" s="70" t="s">
        <v>600</v>
      </c>
      <c r="B44" s="196">
        <f>'3. Trade in Goods'!C75</f>
        <v>3.3180528731200809E-2</v>
      </c>
      <c r="C44" s="609">
        <f>B44-B45</f>
        <v>3.101437581222255E-2</v>
      </c>
    </row>
    <row r="45" spans="1:10" x14ac:dyDescent="0.3">
      <c r="A45" s="144" t="s">
        <v>473</v>
      </c>
      <c r="B45" s="314">
        <f>'3. Trade in Goods'!B75</f>
        <v>2.1661529189782591E-3</v>
      </c>
    </row>
    <row r="46" spans="1:10" s="91" customFormat="1" ht="176.4" customHeight="1" x14ac:dyDescent="0.3">
      <c r="A46" s="671" t="s">
        <v>776</v>
      </c>
      <c r="B46" s="671"/>
      <c r="C46" s="671"/>
      <c r="D46" s="671"/>
    </row>
    <row r="47" spans="1:10" s="91" customFormat="1" x14ac:dyDescent="0.3">
      <c r="C47" s="315"/>
    </row>
    <row r="48" spans="1:10" ht="28.8" x14ac:dyDescent="0.3">
      <c r="A48" s="312" t="s">
        <v>474</v>
      </c>
      <c r="B48" s="313" t="s">
        <v>569</v>
      </c>
    </row>
    <row r="49" spans="1:8" x14ac:dyDescent="0.3">
      <c r="A49" s="70" t="s">
        <v>475</v>
      </c>
      <c r="B49" s="196">
        <f>'2. Trade in Services'!F136</f>
        <v>4.7306337249057862E-2</v>
      </c>
      <c r="D49" s="609">
        <f>B43-B50</f>
        <v>2.1902549851171127E-2</v>
      </c>
    </row>
    <row r="50" spans="1:8" x14ac:dyDescent="0.3">
      <c r="A50" s="70" t="s">
        <v>476</v>
      </c>
      <c r="B50" s="196">
        <f>'2. Trade in Services'!F134</f>
        <v>3.0100121196344087E-2</v>
      </c>
      <c r="D50" s="610">
        <f>B52-B45</f>
        <v>3.0066507447722879E-2</v>
      </c>
    </row>
    <row r="51" spans="1:8" x14ac:dyDescent="0.3">
      <c r="A51" s="70" t="s">
        <v>477</v>
      </c>
      <c r="B51" s="196">
        <f>'3. Trade in Goods'!F94</f>
        <v>3.3511082765480982E-2</v>
      </c>
    </row>
    <row r="52" spans="1:8" x14ac:dyDescent="0.3">
      <c r="A52" s="144" t="s">
        <v>478</v>
      </c>
      <c r="B52" s="314">
        <f>'3. Trade in Goods'!F92</f>
        <v>3.2232660366701138E-2</v>
      </c>
      <c r="D52" s="609">
        <f>B52-B45</f>
        <v>3.0066507447722879E-2</v>
      </c>
    </row>
    <row r="54" spans="1:8" ht="178.2" customHeight="1" x14ac:dyDescent="0.3">
      <c r="A54" s="671" t="s">
        <v>777</v>
      </c>
      <c r="B54" s="671"/>
      <c r="C54" s="671"/>
      <c r="D54" s="671"/>
    </row>
    <row r="56" spans="1:8" s="91" customFormat="1" ht="18" x14ac:dyDescent="0.35">
      <c r="A56" s="95" t="s">
        <v>736</v>
      </c>
      <c r="B56" s="6"/>
      <c r="E56" s="6"/>
      <c r="F56" s="78"/>
    </row>
    <row r="57" spans="1:8" s="91" customFormat="1" x14ac:dyDescent="0.3">
      <c r="A57" s="141" t="s">
        <v>145</v>
      </c>
      <c r="B57" s="292" t="s">
        <v>144</v>
      </c>
    </row>
    <row r="58" spans="1:8" s="91" customFormat="1" x14ac:dyDescent="0.3">
      <c r="A58" s="70" t="s">
        <v>146</v>
      </c>
      <c r="B58" s="291">
        <f>B69</f>
        <v>814.51300000000003</v>
      </c>
    </row>
    <row r="59" spans="1:8" s="91" customFormat="1" x14ac:dyDescent="0.3">
      <c r="A59" s="70" t="s">
        <v>147</v>
      </c>
      <c r="B59" s="291">
        <f>'2. Trade in Services'!T188+'2. Trade in Services'!T189+'2. Trade in Services'!T193+'2. Trade in Services'!T194</f>
        <v>443.75299999999999</v>
      </c>
      <c r="E59" s="45"/>
      <c r="F59" s="81"/>
      <c r="H59" s="90"/>
    </row>
    <row r="60" spans="1:8" s="91" customFormat="1" x14ac:dyDescent="0.3">
      <c r="A60" s="297" t="s">
        <v>148</v>
      </c>
      <c r="B60" s="298">
        <f>B58+B59</f>
        <v>1258.2660000000001</v>
      </c>
      <c r="C60" s="6"/>
    </row>
    <row r="61" spans="1:8" s="91" customFormat="1" x14ac:dyDescent="0.3">
      <c r="A61" s="6"/>
      <c r="B61" s="293"/>
      <c r="C61" s="6"/>
    </row>
    <row r="62" spans="1:8" s="91" customFormat="1" x14ac:dyDescent="0.3">
      <c r="B62" s="294"/>
      <c r="C62" s="6"/>
      <c r="H62" s="82"/>
    </row>
    <row r="63" spans="1:8" s="91" customFormat="1" x14ac:dyDescent="0.3">
      <c r="A63" s="141" t="s">
        <v>160</v>
      </c>
      <c r="B63" s="292" t="s">
        <v>144</v>
      </c>
      <c r="C63" s="6"/>
      <c r="H63" s="90"/>
    </row>
    <row r="64" spans="1:8" s="91" customFormat="1" x14ac:dyDescent="0.3">
      <c r="A64" s="70" t="s">
        <v>149</v>
      </c>
      <c r="B64" s="295">
        <f>B70</f>
        <v>338.73899999999998</v>
      </c>
      <c r="C64" s="6"/>
    </row>
    <row r="65" spans="1:9" s="6" customFormat="1" x14ac:dyDescent="0.3">
      <c r="A65" s="70" t="s">
        <v>150</v>
      </c>
      <c r="B65" s="295">
        <f>'2. Trade in Services'!T188+'2. Trade in Services'!T193</f>
        <v>279.024</v>
      </c>
      <c r="F65" s="78"/>
      <c r="G65" s="91"/>
      <c r="H65" s="91"/>
      <c r="I65" s="91"/>
    </row>
    <row r="66" spans="1:9" s="91" customFormat="1" x14ac:dyDescent="0.3">
      <c r="A66" s="179" t="s">
        <v>63</v>
      </c>
      <c r="B66" s="296">
        <f>B64+B65</f>
        <v>617.76299999999992</v>
      </c>
    </row>
    <row r="67" spans="1:9" s="91" customFormat="1" x14ac:dyDescent="0.3">
      <c r="A67" s="45"/>
      <c r="B67" s="83"/>
    </row>
    <row r="68" spans="1:9" s="91" customFormat="1" x14ac:dyDescent="0.3">
      <c r="A68" s="141" t="s">
        <v>567</v>
      </c>
      <c r="B68" s="194" t="s">
        <v>144</v>
      </c>
    </row>
    <row r="69" spans="1:9" s="91" customFormat="1" x14ac:dyDescent="0.3">
      <c r="A69" s="70" t="s">
        <v>154</v>
      </c>
      <c r="B69" s="291">
        <f>('3. Trade in Goods'!U177+'3. Trade in Goods'!U178+'3. Trade in Goods'!U183+'3. Trade in Goods'!U184)/1000</f>
        <v>814.51300000000003</v>
      </c>
    </row>
    <row r="70" spans="1:9" s="91" customFormat="1" x14ac:dyDescent="0.3">
      <c r="A70" s="70" t="s">
        <v>156</v>
      </c>
      <c r="B70" s="291">
        <f>('3. Trade in Goods'!U177+'3. Trade in Goods'!U183)/1000</f>
        <v>338.73899999999998</v>
      </c>
    </row>
    <row r="71" spans="1:9" s="91" customFormat="1" x14ac:dyDescent="0.3">
      <c r="A71" s="179" t="s">
        <v>158</v>
      </c>
      <c r="B71" s="296">
        <f>(B69-B70)-B70</f>
        <v>137.03500000000008</v>
      </c>
    </row>
    <row r="72" spans="1:9" s="91" customFormat="1" x14ac:dyDescent="0.3">
      <c r="B72" s="271"/>
    </row>
    <row r="73" spans="1:9" s="91" customFormat="1" x14ac:dyDescent="0.3">
      <c r="B73" s="271"/>
    </row>
    <row r="74" spans="1:9" s="91" customFormat="1" x14ac:dyDescent="0.3">
      <c r="A74" s="141" t="s">
        <v>568</v>
      </c>
      <c r="B74" s="292" t="s">
        <v>144</v>
      </c>
      <c r="C74" s="6"/>
      <c r="H74" s="90"/>
    </row>
    <row r="75" spans="1:9" s="91" customFormat="1" x14ac:dyDescent="0.3">
      <c r="A75" s="70" t="s">
        <v>155</v>
      </c>
      <c r="B75" s="291">
        <f>B59</f>
        <v>443.75299999999999</v>
      </c>
      <c r="C75" s="6"/>
    </row>
    <row r="76" spans="1:9" s="91" customFormat="1" x14ac:dyDescent="0.3">
      <c r="A76" s="70" t="s">
        <v>157</v>
      </c>
      <c r="B76" s="291">
        <f>B65</f>
        <v>279.024</v>
      </c>
      <c r="C76" s="6"/>
    </row>
    <row r="77" spans="1:9" s="91" customFormat="1" x14ac:dyDescent="0.3">
      <c r="A77" s="179" t="s">
        <v>159</v>
      </c>
      <c r="B77" s="296">
        <f>B76-(B75-B76)</f>
        <v>114.29500000000002</v>
      </c>
      <c r="C77" s="6"/>
    </row>
    <row r="80" spans="1:9" x14ac:dyDescent="0.3">
      <c r="A80" s="213" t="s">
        <v>737</v>
      </c>
      <c r="B80" s="536" t="s">
        <v>96</v>
      </c>
      <c r="C80" s="536" t="s">
        <v>86</v>
      </c>
    </row>
    <row r="81" spans="1:3" s="500" customFormat="1" x14ac:dyDescent="0.3">
      <c r="A81" s="213" t="s">
        <v>631</v>
      </c>
      <c r="B81" s="535">
        <f>'3. Trade in Goods'!C75</f>
        <v>3.3180528731200809E-2</v>
      </c>
      <c r="C81" s="535">
        <f>'3. Trade in Goods'!C76</f>
        <v>3.3511082765480982E-2</v>
      </c>
    </row>
    <row r="82" spans="1:3" s="500" customFormat="1" x14ac:dyDescent="0.3">
      <c r="A82" s="213" t="s">
        <v>632</v>
      </c>
      <c r="B82" s="535">
        <f>'3. Trade in Goods'!B75</f>
        <v>2.1661529189782591E-3</v>
      </c>
      <c r="C82" s="535">
        <f>'3. Trade in Goods'!B76</f>
        <v>3.2232660366701138E-2</v>
      </c>
    </row>
    <row r="83" spans="1:3" x14ac:dyDescent="0.3">
      <c r="A83" s="132" t="s">
        <v>633</v>
      </c>
      <c r="B83" s="501">
        <f>'2. Trade in Services'!C118</f>
        <v>5.5755152274452824E-2</v>
      </c>
      <c r="C83" s="501">
        <f>'2. Trade in Services'!C119</f>
        <v>4.7306337249057862E-2</v>
      </c>
    </row>
    <row r="84" spans="1:3" x14ac:dyDescent="0.3">
      <c r="A84" s="132" t="s">
        <v>634</v>
      </c>
      <c r="B84" s="501">
        <f>'2. Trade in Services'!B118</f>
        <v>5.2002671047515214E-2</v>
      </c>
      <c r="C84" s="501">
        <f>'2. Trade in Services'!B119</f>
        <v>3.0100121196344087E-2</v>
      </c>
    </row>
    <row r="86" spans="1:3" ht="14.4" customHeight="1" x14ac:dyDescent="0.3">
      <c r="A86" s="671" t="s">
        <v>742</v>
      </c>
      <c r="B86" s="671"/>
      <c r="C86" s="671"/>
    </row>
    <row r="87" spans="1:3" x14ac:dyDescent="0.3">
      <c r="A87" s="671"/>
      <c r="B87" s="671"/>
      <c r="C87" s="671"/>
    </row>
    <row r="88" spans="1:3" x14ac:dyDescent="0.3">
      <c r="A88" s="671"/>
      <c r="B88" s="671"/>
      <c r="C88" s="671"/>
    </row>
    <row r="89" spans="1:3" x14ac:dyDescent="0.3">
      <c r="A89" s="671"/>
      <c r="B89" s="671"/>
      <c r="C89" s="671"/>
    </row>
    <row r="90" spans="1:3" x14ac:dyDescent="0.3">
      <c r="A90" s="671"/>
      <c r="B90" s="671"/>
      <c r="C90" s="671"/>
    </row>
    <row r="91" spans="1:3" x14ac:dyDescent="0.3">
      <c r="A91" s="671"/>
      <c r="B91" s="671"/>
      <c r="C91" s="671"/>
    </row>
    <row r="92" spans="1:3" x14ac:dyDescent="0.3">
      <c r="A92" s="671"/>
      <c r="B92" s="671"/>
      <c r="C92" s="671"/>
    </row>
    <row r="93" spans="1:3" x14ac:dyDescent="0.3">
      <c r="A93" s="671"/>
      <c r="B93" s="671"/>
      <c r="C93" s="671"/>
    </row>
    <row r="94" spans="1:3" x14ac:dyDescent="0.3">
      <c r="A94" s="671"/>
      <c r="B94" s="671"/>
      <c r="C94" s="671"/>
    </row>
    <row r="95" spans="1:3" x14ac:dyDescent="0.3">
      <c r="A95" s="671"/>
      <c r="B95" s="671"/>
      <c r="C95" s="671"/>
    </row>
    <row r="96" spans="1:3" x14ac:dyDescent="0.3">
      <c r="A96" s="671"/>
      <c r="B96" s="671"/>
      <c r="C96" s="671"/>
    </row>
    <row r="99" spans="1:1" ht="18" x14ac:dyDescent="0.35">
      <c r="A99" s="204"/>
    </row>
  </sheetData>
  <mergeCells count="7">
    <mergeCell ref="A86:C96"/>
    <mergeCell ref="A2:J2"/>
    <mergeCell ref="A54:D54"/>
    <mergeCell ref="A40:J40"/>
    <mergeCell ref="A46:D46"/>
    <mergeCell ref="D34:I36"/>
    <mergeCell ref="A28:C29"/>
  </mergeCells>
  <hyperlinks>
    <hyperlink ref="D27" r:id="rId1" xr:uid="{6AC61B0D-ACE6-4632-955E-01E334953DBE}"/>
  </hyperlinks>
  <pageMargins left="0.7" right="0.7" top="0.75" bottom="0.75" header="0.3" footer="0.3"/>
  <pageSetup paperSize="9" orientation="landscape" horizontalDpi="4294967293" verticalDpi="4294967293"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57B93-F7F8-49E7-A097-C379BC30B7E8}">
  <dimension ref="A1"/>
  <sheetViews>
    <sheetView workbookViewId="0">
      <selection activeCell="A3" sqref="A3"/>
    </sheetView>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6CE30-AEB2-418F-ADE0-AFFD8A77A795}">
  <dimension ref="A1:AQ217"/>
  <sheetViews>
    <sheetView zoomScale="90" zoomScaleNormal="90" workbookViewId="0">
      <selection activeCell="F68" sqref="F68"/>
    </sheetView>
  </sheetViews>
  <sheetFormatPr defaultRowHeight="14.4" x14ac:dyDescent="0.3"/>
  <cols>
    <col min="1" max="1" width="41.44140625" style="91" customWidth="1"/>
    <col min="2" max="2" width="13.109375" style="91" customWidth="1"/>
    <col min="3" max="3" width="12.109375" style="91" customWidth="1"/>
    <col min="4" max="4" width="12.77734375" style="91" customWidth="1"/>
    <col min="5" max="5" width="13.109375" style="91" customWidth="1"/>
    <col min="6" max="6" width="13.33203125" style="91" customWidth="1"/>
    <col min="7" max="7" width="25.33203125" style="91" customWidth="1"/>
    <col min="8" max="8" width="12.109375" style="91" customWidth="1"/>
    <col min="9" max="9" width="11.44140625" style="91" customWidth="1"/>
    <col min="10" max="19" width="12.6640625" style="91" bestFit="1" customWidth="1"/>
    <col min="20" max="20" width="10.77734375" style="91" bestFit="1" customWidth="1"/>
    <col min="21" max="21" width="8.88671875" style="91"/>
    <col min="22" max="22" width="14.109375" style="91" customWidth="1"/>
    <col min="23" max="24" width="12.33203125" style="91" customWidth="1"/>
    <col min="25" max="16384" width="8.88671875" style="91"/>
  </cols>
  <sheetData>
    <row r="1" spans="1:13" s="157" customFormat="1" ht="54" customHeight="1" x14ac:dyDescent="0.4">
      <c r="A1" s="157" t="s">
        <v>462</v>
      </c>
    </row>
    <row r="2" spans="1:13" s="157" customFormat="1" ht="103.2" customHeight="1" x14ac:dyDescent="0.4">
      <c r="A2" s="677" t="s">
        <v>772</v>
      </c>
      <c r="B2" s="677"/>
      <c r="C2" s="677"/>
      <c r="D2" s="677"/>
      <c r="E2" s="677"/>
      <c r="F2" s="677"/>
      <c r="G2" s="677"/>
      <c r="H2" s="677"/>
      <c r="I2" s="677"/>
      <c r="J2" s="677"/>
      <c r="K2" s="677"/>
      <c r="L2" s="677"/>
      <c r="M2" s="677"/>
    </row>
    <row r="3" spans="1:13" ht="21" customHeight="1" x14ac:dyDescent="0.3">
      <c r="A3" s="97" t="s">
        <v>767</v>
      </c>
      <c r="B3" s="78"/>
      <c r="E3" s="6"/>
      <c r="F3" s="78"/>
    </row>
    <row r="4" spans="1:13" s="500" customFormat="1" x14ac:dyDescent="0.3">
      <c r="A4" s="6" t="s">
        <v>763</v>
      </c>
      <c r="B4" s="648" t="s">
        <v>766</v>
      </c>
      <c r="D4" s="500" t="s">
        <v>771</v>
      </c>
      <c r="E4" s="6"/>
      <c r="F4" s="78"/>
    </row>
    <row r="5" spans="1:13" x14ac:dyDescent="0.3">
      <c r="A5" s="8" t="s">
        <v>765</v>
      </c>
      <c r="B5" s="648" t="s">
        <v>764</v>
      </c>
      <c r="E5" s="6"/>
      <c r="F5" s="78"/>
    </row>
    <row r="6" spans="1:13" ht="28.8" customHeight="1" x14ac:dyDescent="0.3">
      <c r="A6" s="683" t="s">
        <v>769</v>
      </c>
      <c r="B6" s="683"/>
      <c r="C6" s="683"/>
      <c r="D6" s="683"/>
      <c r="E6" s="683"/>
      <c r="F6" s="683"/>
      <c r="G6" s="683"/>
      <c r="H6" s="683"/>
      <c r="I6" s="683"/>
      <c r="J6" s="683"/>
      <c r="K6" s="683"/>
      <c r="L6" s="683"/>
      <c r="M6" s="683"/>
    </row>
    <row r="7" spans="1:13" ht="36.6" customHeight="1" x14ac:dyDescent="0.3">
      <c r="A7" s="681" t="s">
        <v>770</v>
      </c>
      <c r="B7" s="681"/>
      <c r="C7" s="681"/>
      <c r="D7" s="681"/>
      <c r="E7" s="681"/>
      <c r="F7" s="681"/>
      <c r="G7" s="681"/>
      <c r="H7" s="681"/>
      <c r="I7" s="681"/>
      <c r="J7" s="681"/>
      <c r="K7" s="681"/>
      <c r="L7" s="681"/>
    </row>
    <row r="8" spans="1:13" ht="18" x14ac:dyDescent="0.35">
      <c r="A8" s="95" t="s">
        <v>465</v>
      </c>
      <c r="B8" s="83"/>
      <c r="C8" s="6"/>
      <c r="F8" s="9"/>
    </row>
    <row r="9" spans="1:13" x14ac:dyDescent="0.3">
      <c r="A9" s="141" t="s">
        <v>463</v>
      </c>
      <c r="B9" s="112" t="s">
        <v>137</v>
      </c>
      <c r="C9" s="172" t="s">
        <v>64</v>
      </c>
      <c r="D9" s="172" t="s">
        <v>332</v>
      </c>
      <c r="F9" s="72"/>
    </row>
    <row r="10" spans="1:13" x14ac:dyDescent="0.3">
      <c r="A10" s="173" t="s">
        <v>464</v>
      </c>
      <c r="B10" s="57">
        <f>B26</f>
        <v>90.458500000000015</v>
      </c>
      <c r="C10" s="174">
        <f>C26</f>
        <v>154.94649999999999</v>
      </c>
      <c r="D10" s="174">
        <f>B10+C10</f>
        <v>245.405</v>
      </c>
    </row>
    <row r="11" spans="1:13" x14ac:dyDescent="0.3">
      <c r="A11" s="144" t="s">
        <v>461</v>
      </c>
      <c r="B11" s="175">
        <f>B68+C68</f>
        <v>166.36450000000002</v>
      </c>
      <c r="C11" s="176">
        <f>B83+C83</f>
        <v>231.76849999999996</v>
      </c>
      <c r="D11" s="176">
        <f>B11+C11</f>
        <v>398.13299999999998</v>
      </c>
    </row>
    <row r="12" spans="1:13" ht="15" thickBot="1" x14ac:dyDescent="0.35">
      <c r="B12" s="96"/>
      <c r="C12" s="55"/>
    </row>
    <row r="13" spans="1:13" x14ac:dyDescent="0.3">
      <c r="A13" s="252" t="s">
        <v>336</v>
      </c>
      <c r="B13" s="253" t="s">
        <v>137</v>
      </c>
      <c r="C13" s="253" t="s">
        <v>64</v>
      </c>
      <c r="D13" s="245" t="s">
        <v>332</v>
      </c>
    </row>
    <row r="14" spans="1:13" x14ac:dyDescent="0.3">
      <c r="A14" s="254" t="s">
        <v>331</v>
      </c>
      <c r="B14" s="195">
        <v>23.7</v>
      </c>
      <c r="C14" s="195">
        <f>D14-B14</f>
        <v>42.349999999999994</v>
      </c>
      <c r="D14" s="255">
        <v>66.05</v>
      </c>
    </row>
    <row r="15" spans="1:13" x14ac:dyDescent="0.3">
      <c r="A15" s="254" t="s">
        <v>330</v>
      </c>
      <c r="B15" s="195">
        <v>27.021000000000001</v>
      </c>
      <c r="C15" s="195">
        <f>D15-B15</f>
        <v>34.362000000000002</v>
      </c>
      <c r="D15" s="256">
        <v>61.383000000000003</v>
      </c>
      <c r="E15" s="565">
        <f>(B15+C15)/D26</f>
        <v>0.25012937796703411</v>
      </c>
    </row>
    <row r="16" spans="1:13" x14ac:dyDescent="0.3">
      <c r="A16" s="254" t="s">
        <v>138</v>
      </c>
      <c r="B16" s="195">
        <v>14.762</v>
      </c>
      <c r="C16" s="195">
        <f>D16-B16</f>
        <v>15.994</v>
      </c>
      <c r="D16" s="256">
        <v>30.756</v>
      </c>
      <c r="E16" s="566" t="s">
        <v>768</v>
      </c>
    </row>
    <row r="17" spans="1:6" x14ac:dyDescent="0.3">
      <c r="A17" s="254" t="s">
        <v>328</v>
      </c>
      <c r="B17" s="195">
        <v>5.5720000000000001</v>
      </c>
      <c r="C17" s="264">
        <f>D17-B17</f>
        <v>20.378</v>
      </c>
      <c r="D17" s="256">
        <v>25.95</v>
      </c>
    </row>
    <row r="18" spans="1:6" x14ac:dyDescent="0.3">
      <c r="A18" s="254" t="s">
        <v>333</v>
      </c>
      <c r="B18" s="195">
        <v>8.3949999999999996</v>
      </c>
      <c r="C18" s="195">
        <f t="shared" ref="C18:C22" si="0">D18-B18</f>
        <v>10.641000000000002</v>
      </c>
      <c r="D18" s="256">
        <v>19.036000000000001</v>
      </c>
    </row>
    <row r="19" spans="1:6" x14ac:dyDescent="0.3">
      <c r="A19" s="254" t="s">
        <v>139</v>
      </c>
      <c r="B19" s="195">
        <v>1.7010000000000001</v>
      </c>
      <c r="C19" s="195">
        <f t="shared" si="0"/>
        <v>15.928999999999998</v>
      </c>
      <c r="D19" s="256">
        <v>17.63</v>
      </c>
    </row>
    <row r="20" spans="1:6" x14ac:dyDescent="0.3">
      <c r="A20" s="254" t="s">
        <v>335</v>
      </c>
      <c r="B20" s="195">
        <v>4.915</v>
      </c>
      <c r="C20" s="195">
        <f t="shared" si="0"/>
        <v>7.7339999999999991</v>
      </c>
      <c r="D20" s="256">
        <v>12.648999999999999</v>
      </c>
    </row>
    <row r="21" spans="1:6" x14ac:dyDescent="0.3">
      <c r="A21" s="254" t="s">
        <v>508</v>
      </c>
      <c r="B21" s="195">
        <v>1.048</v>
      </c>
      <c r="C21" s="195">
        <f t="shared" si="0"/>
        <v>2.5829999999999997</v>
      </c>
      <c r="D21" s="256">
        <v>3.6309999999999998</v>
      </c>
      <c r="E21" s="81"/>
    </row>
    <row r="22" spans="1:6" x14ac:dyDescent="0.3">
      <c r="A22" s="254" t="s">
        <v>338</v>
      </c>
      <c r="B22" s="195">
        <v>0.54</v>
      </c>
      <c r="C22" s="195">
        <f t="shared" si="0"/>
        <v>2.028</v>
      </c>
      <c r="D22" s="256">
        <v>2.5680000000000001</v>
      </c>
      <c r="E22" s="81"/>
    </row>
    <row r="23" spans="1:6" x14ac:dyDescent="0.3">
      <c r="A23" s="254" t="s">
        <v>327</v>
      </c>
      <c r="B23" s="195">
        <f>D23/2</f>
        <v>1.0469999999999999</v>
      </c>
      <c r="C23" s="195">
        <f>D23/2</f>
        <v>1.0469999999999999</v>
      </c>
      <c r="D23" s="256">
        <v>2.0939999999999999</v>
      </c>
      <c r="E23" s="91" t="s">
        <v>337</v>
      </c>
    </row>
    <row r="24" spans="1:6" x14ac:dyDescent="0.3">
      <c r="A24" s="254" t="s">
        <v>329</v>
      </c>
      <c r="B24" s="195">
        <f>D24/2</f>
        <v>0.9355</v>
      </c>
      <c r="C24" s="195">
        <f>D24/2</f>
        <v>0.9355</v>
      </c>
      <c r="D24" s="256">
        <v>1.871</v>
      </c>
      <c r="E24" s="91" t="s">
        <v>337</v>
      </c>
    </row>
    <row r="25" spans="1:6" x14ac:dyDescent="0.3">
      <c r="A25" s="254" t="s">
        <v>140</v>
      </c>
      <c r="B25" s="195">
        <v>0.82199999999999995</v>
      </c>
      <c r="C25" s="195">
        <f>D25-B25</f>
        <v>0.96499999999999997</v>
      </c>
      <c r="D25" s="256">
        <v>1.7869999999999999</v>
      </c>
    </row>
    <row r="26" spans="1:6" ht="15" thickBot="1" x14ac:dyDescent="0.35">
      <c r="A26" s="364" t="s">
        <v>339</v>
      </c>
      <c r="B26" s="257">
        <f>SUM(B14:B25)</f>
        <v>90.458500000000015</v>
      </c>
      <c r="C26" s="257">
        <f>SUM(C14:C25)</f>
        <v>154.94649999999999</v>
      </c>
      <c r="D26" s="258">
        <f>SUM(D14:D25)</f>
        <v>245.405</v>
      </c>
      <c r="E26" s="45"/>
      <c r="F26" s="81"/>
    </row>
    <row r="27" spans="1:6" x14ac:dyDescent="0.3">
      <c r="A27" s="239" t="s">
        <v>449</v>
      </c>
      <c r="B27" s="235"/>
      <c r="C27" s="235"/>
      <c r="D27" s="240"/>
      <c r="E27" s="45"/>
      <c r="F27" s="81"/>
    </row>
    <row r="28" spans="1:6" x14ac:dyDescent="0.3">
      <c r="A28" s="81"/>
      <c r="B28" s="81"/>
      <c r="C28" s="81"/>
      <c r="D28" s="81"/>
      <c r="E28" s="45"/>
      <c r="F28" s="81"/>
    </row>
    <row r="29" spans="1:6" ht="18.600000000000001" thickBot="1" x14ac:dyDescent="0.4">
      <c r="A29" s="95" t="s">
        <v>448</v>
      </c>
      <c r="B29" s="81"/>
      <c r="C29" s="81"/>
      <c r="D29" s="81"/>
      <c r="E29" s="45"/>
      <c r="F29" s="81"/>
    </row>
    <row r="30" spans="1:6" x14ac:dyDescent="0.3">
      <c r="A30" s="252" t="s">
        <v>342</v>
      </c>
      <c r="B30" s="268">
        <v>2016</v>
      </c>
      <c r="C30" s="266" t="s">
        <v>460</v>
      </c>
      <c r="D30" s="81"/>
      <c r="E30" s="45"/>
      <c r="F30" s="81"/>
    </row>
    <row r="31" spans="1:6" x14ac:dyDescent="0.3">
      <c r="A31" s="254" t="s">
        <v>343</v>
      </c>
      <c r="B31" s="195">
        <f>C14</f>
        <v>42.349999999999994</v>
      </c>
      <c r="C31" s="612">
        <f>B31/B43</f>
        <v>0.17257187098877363</v>
      </c>
      <c r="D31" s="81"/>
      <c r="E31" s="45"/>
      <c r="F31" s="81"/>
    </row>
    <row r="32" spans="1:6" x14ac:dyDescent="0.3">
      <c r="A32" s="254" t="s">
        <v>345</v>
      </c>
      <c r="B32" s="195">
        <f>C15</f>
        <v>34.362000000000002</v>
      </c>
      <c r="C32" s="612">
        <f>B32/B43</f>
        <v>0.14002159695197736</v>
      </c>
      <c r="D32" s="81"/>
      <c r="E32" s="45"/>
      <c r="F32" s="81"/>
    </row>
    <row r="33" spans="1:6" x14ac:dyDescent="0.3">
      <c r="A33" s="360" t="s">
        <v>346</v>
      </c>
      <c r="B33" s="361">
        <f>B15</f>
        <v>27.021000000000001</v>
      </c>
      <c r="C33" s="613">
        <f>B33/B43</f>
        <v>0.11010778101505675</v>
      </c>
      <c r="D33" s="81"/>
      <c r="E33" s="45"/>
      <c r="F33" s="81"/>
    </row>
    <row r="34" spans="1:6" x14ac:dyDescent="0.3">
      <c r="A34" s="254" t="s">
        <v>347</v>
      </c>
      <c r="B34" s="195">
        <f>B14</f>
        <v>23.7</v>
      </c>
      <c r="C34" s="612">
        <f>B34/B43</f>
        <v>9.6575049408121269E-2</v>
      </c>
      <c r="D34" s="81"/>
      <c r="E34" s="45"/>
      <c r="F34" s="81"/>
    </row>
    <row r="35" spans="1:6" x14ac:dyDescent="0.3">
      <c r="A35" s="254" t="s">
        <v>348</v>
      </c>
      <c r="B35" s="195">
        <f>C17</f>
        <v>20.378</v>
      </c>
      <c r="C35" s="612">
        <f>B35/B43</f>
        <v>8.3038242904586293E-2</v>
      </c>
      <c r="D35" s="81"/>
      <c r="E35" s="45"/>
      <c r="F35" s="81"/>
    </row>
    <row r="36" spans="1:6" x14ac:dyDescent="0.3">
      <c r="A36" s="254" t="s">
        <v>349</v>
      </c>
      <c r="B36" s="195">
        <f>C16</f>
        <v>15.994</v>
      </c>
      <c r="C36" s="612">
        <f>B36/B43</f>
        <v>6.5173896212383606E-2</v>
      </c>
      <c r="D36" s="81"/>
      <c r="E36" s="45"/>
      <c r="F36" s="81"/>
    </row>
    <row r="37" spans="1:6" x14ac:dyDescent="0.3">
      <c r="A37" s="254" t="s">
        <v>350</v>
      </c>
      <c r="B37" s="195">
        <f>C19</f>
        <v>15.928999999999998</v>
      </c>
      <c r="C37" s="612">
        <f>B37/B43</f>
        <v>6.4909027933416186E-2</v>
      </c>
      <c r="D37" s="81"/>
      <c r="E37" s="45"/>
      <c r="F37" s="81"/>
    </row>
    <row r="38" spans="1:6" s="500" customFormat="1" x14ac:dyDescent="0.3">
      <c r="A38" s="254" t="s">
        <v>718</v>
      </c>
      <c r="B38" s="195">
        <v>14.8</v>
      </c>
      <c r="C38" s="612">
        <f>B38/B43</f>
        <v>6.0308469672582063E-2</v>
      </c>
      <c r="D38" s="81"/>
      <c r="E38" s="45"/>
      <c r="F38" s="81"/>
    </row>
    <row r="39" spans="1:6" s="500" customFormat="1" x14ac:dyDescent="0.3">
      <c r="A39" s="254" t="s">
        <v>719</v>
      </c>
      <c r="B39" s="195">
        <f>C18</f>
        <v>10.641000000000002</v>
      </c>
      <c r="C39" s="612">
        <f>B39/B43</f>
        <v>4.3360974715266606E-2</v>
      </c>
      <c r="D39" s="81"/>
      <c r="E39" s="45"/>
      <c r="F39" s="81"/>
    </row>
    <row r="40" spans="1:6" s="500" customFormat="1" x14ac:dyDescent="0.3">
      <c r="A40" s="254" t="s">
        <v>720</v>
      </c>
      <c r="B40" s="195">
        <f>B18</f>
        <v>8.3949999999999996</v>
      </c>
      <c r="C40" s="612">
        <f>B40/B43</f>
        <v>3.4208756952792324E-2</v>
      </c>
      <c r="D40" s="81"/>
      <c r="E40" s="45"/>
      <c r="F40" s="81"/>
    </row>
    <row r="41" spans="1:6" s="500" customFormat="1" x14ac:dyDescent="0.3">
      <c r="A41" s="254" t="s">
        <v>721</v>
      </c>
      <c r="B41" s="195">
        <f>C20</f>
        <v>7.7339999999999991</v>
      </c>
      <c r="C41" s="612">
        <f>B41/B43</f>
        <v>3.1515250300523621E-2</v>
      </c>
      <c r="D41" s="81"/>
      <c r="E41" s="45"/>
      <c r="F41" s="81"/>
    </row>
    <row r="42" spans="1:6" x14ac:dyDescent="0.3">
      <c r="A42" s="246" t="s">
        <v>344</v>
      </c>
      <c r="B42" s="267">
        <f>B43-SUM(B31:B41)</f>
        <v>24.100999999999999</v>
      </c>
      <c r="C42" s="614">
        <f>B42/B50</f>
        <v>9.8209082944520285E-2</v>
      </c>
      <c r="D42" s="81"/>
      <c r="E42" s="45"/>
      <c r="F42" s="81"/>
    </row>
    <row r="43" spans="1:6" ht="15" thickBot="1" x14ac:dyDescent="0.35">
      <c r="A43" s="288" t="s">
        <v>197</v>
      </c>
      <c r="B43" s="289">
        <f>D26</f>
        <v>245.405</v>
      </c>
      <c r="C43" s="290">
        <f>SUM(C31:C42)</f>
        <v>0.99999999999999989</v>
      </c>
      <c r="D43" s="81"/>
      <c r="E43" s="45"/>
      <c r="F43" s="81"/>
    </row>
    <row r="44" spans="1:6" x14ac:dyDescent="0.3">
      <c r="A44" s="81"/>
      <c r="B44" s="81"/>
      <c r="C44" s="81"/>
      <c r="D44" s="81"/>
      <c r="E44" s="45"/>
      <c r="F44" s="81"/>
    </row>
    <row r="45" spans="1:6" ht="28.2" customHeight="1" x14ac:dyDescent="0.3">
      <c r="A45" s="680" t="s">
        <v>504</v>
      </c>
      <c r="B45" s="680"/>
      <c r="C45" s="680"/>
      <c r="D45" s="680"/>
      <c r="E45" s="680"/>
      <c r="F45" s="81"/>
    </row>
    <row r="46" spans="1:6" x14ac:dyDescent="0.3">
      <c r="A46" s="81"/>
      <c r="B46" s="81"/>
      <c r="C46" s="81"/>
      <c r="D46" s="81"/>
      <c r="E46" s="45"/>
      <c r="F46" s="81"/>
    </row>
    <row r="47" spans="1:6" x14ac:dyDescent="0.3">
      <c r="A47" s="81"/>
      <c r="B47" s="81"/>
      <c r="C47" s="81"/>
      <c r="D47" s="81"/>
      <c r="E47" s="45"/>
      <c r="F47" s="81"/>
    </row>
    <row r="48" spans="1:6" s="45" customFormat="1" ht="18.600000000000001" thickBot="1" x14ac:dyDescent="0.4">
      <c r="A48" s="95" t="s">
        <v>510</v>
      </c>
    </row>
    <row r="49" spans="1:20" ht="28.8" x14ac:dyDescent="0.3">
      <c r="A49" s="243">
        <v>2016</v>
      </c>
      <c r="B49" s="244" t="s">
        <v>225</v>
      </c>
      <c r="C49" s="244" t="s">
        <v>511</v>
      </c>
      <c r="D49" s="244" t="s">
        <v>34</v>
      </c>
      <c r="E49" s="245" t="s">
        <v>193</v>
      </c>
      <c r="M49" s="6"/>
      <c r="N49" s="6"/>
      <c r="O49" s="6"/>
      <c r="P49" s="6"/>
      <c r="Q49" s="6"/>
      <c r="R49" s="6"/>
      <c r="S49" s="6"/>
      <c r="T49" s="6"/>
    </row>
    <row r="50" spans="1:20" x14ac:dyDescent="0.3">
      <c r="A50" s="246" t="s">
        <v>339</v>
      </c>
      <c r="B50" s="123">
        <f>D26</f>
        <v>245.405</v>
      </c>
      <c r="C50" s="123">
        <v>153.02799999999999</v>
      </c>
      <c r="D50" s="123">
        <f>B50-C50</f>
        <v>92.37700000000001</v>
      </c>
      <c r="E50" s="247">
        <f>B50/B50</f>
        <v>1</v>
      </c>
      <c r="M50" s="6"/>
      <c r="N50" s="6"/>
      <c r="O50" s="6"/>
      <c r="P50" s="6"/>
      <c r="Q50" s="6"/>
      <c r="R50" s="6"/>
      <c r="S50" s="6"/>
      <c r="T50" s="6"/>
    </row>
    <row r="51" spans="1:20" x14ac:dyDescent="0.3">
      <c r="A51" s="362" t="s">
        <v>331</v>
      </c>
      <c r="B51" s="249">
        <v>66.051000000000002</v>
      </c>
      <c r="C51" s="249">
        <v>43.308999999999997</v>
      </c>
      <c r="D51" s="249">
        <f t="shared" ref="D51" si="1">B51-C51</f>
        <v>22.742000000000004</v>
      </c>
      <c r="E51" s="269">
        <f>B51/B50</f>
        <v>0.26915099529349445</v>
      </c>
      <c r="M51" s="6"/>
      <c r="N51" s="6"/>
      <c r="O51" s="6"/>
      <c r="P51" s="6"/>
      <c r="Q51" s="6"/>
      <c r="R51" s="6"/>
      <c r="S51" s="6"/>
      <c r="T51" s="6"/>
    </row>
    <row r="52" spans="1:20" x14ac:dyDescent="0.3">
      <c r="A52" s="362" t="s">
        <v>330</v>
      </c>
      <c r="B52" s="249">
        <v>61.383000000000003</v>
      </c>
      <c r="C52" s="249">
        <v>10.598000000000001</v>
      </c>
      <c r="D52" s="249">
        <f t="shared" ref="D52:D62" si="2">B52-C52</f>
        <v>50.785000000000004</v>
      </c>
      <c r="E52" s="269">
        <f>B52/B50</f>
        <v>0.25012937796703411</v>
      </c>
      <c r="M52" s="6"/>
      <c r="N52" s="6"/>
      <c r="O52" s="6"/>
      <c r="P52" s="6"/>
      <c r="Q52" s="6"/>
      <c r="R52" s="6"/>
      <c r="S52" s="6"/>
      <c r="T52" s="6"/>
    </row>
    <row r="53" spans="1:20" x14ac:dyDescent="0.3">
      <c r="A53" s="362" t="s">
        <v>138</v>
      </c>
      <c r="B53" s="249">
        <v>30.756</v>
      </c>
      <c r="C53" s="249">
        <v>47.988999999999997</v>
      </c>
      <c r="D53" s="249">
        <f t="shared" si="2"/>
        <v>-17.232999999999997</v>
      </c>
      <c r="E53" s="269">
        <f>B53/B50</f>
        <v>0.12532751981418472</v>
      </c>
      <c r="M53" s="6"/>
      <c r="N53" s="6"/>
      <c r="O53" s="6"/>
      <c r="P53" s="6"/>
      <c r="Q53" s="6"/>
      <c r="R53" s="6"/>
      <c r="S53" s="6"/>
      <c r="T53" s="6"/>
    </row>
    <row r="54" spans="1:20" x14ac:dyDescent="0.3">
      <c r="A54" s="362" t="s">
        <v>328</v>
      </c>
      <c r="B54" s="249">
        <v>25.95</v>
      </c>
      <c r="C54" s="249">
        <v>22.076000000000001</v>
      </c>
      <c r="D54" s="249">
        <f t="shared" si="2"/>
        <v>3.8739999999999988</v>
      </c>
      <c r="E54" s="269">
        <f>B54/B50</f>
        <v>0.10574356675699353</v>
      </c>
      <c r="M54" s="6"/>
      <c r="N54" s="6"/>
      <c r="O54" s="6"/>
      <c r="P54" s="6"/>
      <c r="Q54" s="6"/>
      <c r="R54" s="6"/>
      <c r="S54" s="6"/>
      <c r="T54" s="6"/>
    </row>
    <row r="55" spans="1:20" x14ac:dyDescent="0.3">
      <c r="A55" s="362" t="s">
        <v>333</v>
      </c>
      <c r="B55" s="249">
        <v>19.036000000000001</v>
      </c>
      <c r="C55" s="249">
        <v>10.731</v>
      </c>
      <c r="D55" s="249">
        <f t="shared" si="2"/>
        <v>8.3050000000000015</v>
      </c>
      <c r="E55" s="269">
        <f>B55/B50</f>
        <v>7.756973166805893E-2</v>
      </c>
      <c r="M55" s="6"/>
      <c r="N55" s="6"/>
      <c r="O55" s="6"/>
      <c r="P55" s="6"/>
      <c r="Q55" s="6"/>
      <c r="R55" s="6"/>
      <c r="S55" s="6"/>
      <c r="T55" s="6"/>
    </row>
    <row r="56" spans="1:20" x14ac:dyDescent="0.3">
      <c r="A56" s="362" t="s">
        <v>139</v>
      </c>
      <c r="B56" s="249">
        <v>17.63</v>
      </c>
      <c r="C56" s="249">
        <v>0.19900000000000001</v>
      </c>
      <c r="D56" s="249">
        <f t="shared" si="2"/>
        <v>17.430999999999997</v>
      </c>
      <c r="E56" s="269">
        <f>B56/B50</f>
        <v>7.184042704916363E-2</v>
      </c>
      <c r="M56" s="6"/>
      <c r="N56" s="6"/>
      <c r="O56" s="6"/>
      <c r="P56" s="6"/>
      <c r="Q56" s="6"/>
      <c r="R56" s="6"/>
      <c r="S56" s="6"/>
      <c r="T56" s="6"/>
    </row>
    <row r="57" spans="1:20" x14ac:dyDescent="0.3">
      <c r="A57" s="362" t="s">
        <v>335</v>
      </c>
      <c r="B57" s="249">
        <v>12.648999999999999</v>
      </c>
      <c r="C57" s="249">
        <v>8.5470000000000006</v>
      </c>
      <c r="D57" s="249">
        <f t="shared" si="2"/>
        <v>4.1019999999999985</v>
      </c>
      <c r="E57" s="269">
        <f>B57/B50</f>
        <v>5.1543367087060164E-2</v>
      </c>
      <c r="M57" s="6"/>
      <c r="N57" s="6"/>
      <c r="O57" s="6"/>
      <c r="P57" s="6"/>
      <c r="Q57" s="6"/>
      <c r="R57" s="6"/>
      <c r="S57" s="6"/>
      <c r="T57" s="6"/>
    </row>
    <row r="58" spans="1:20" x14ac:dyDescent="0.3">
      <c r="A58" s="362" t="s">
        <v>334</v>
      </c>
      <c r="B58" s="249">
        <v>3.6309999999999998</v>
      </c>
      <c r="C58" s="249">
        <v>3.5390000000000001</v>
      </c>
      <c r="D58" s="249">
        <f t="shared" si="2"/>
        <v>9.1999999999999638E-2</v>
      </c>
      <c r="E58" s="269">
        <f>B58/B50</f>
        <v>1.4795949552780097E-2</v>
      </c>
      <c r="M58" s="6"/>
      <c r="N58" s="6"/>
      <c r="O58" s="6"/>
      <c r="P58" s="6"/>
      <c r="Q58" s="6"/>
      <c r="R58" s="6"/>
      <c r="S58" s="6"/>
      <c r="T58" s="6"/>
    </row>
    <row r="59" spans="1:20" x14ac:dyDescent="0.3">
      <c r="A59" s="362" t="s">
        <v>338</v>
      </c>
      <c r="B59" s="249">
        <v>2.5680000000000001</v>
      </c>
      <c r="C59" s="249">
        <v>3.1669999999999998</v>
      </c>
      <c r="D59" s="249">
        <f t="shared" si="2"/>
        <v>-0.59899999999999975</v>
      </c>
      <c r="E59" s="269">
        <f>B59/B50</f>
        <v>1.0464334467512887E-2</v>
      </c>
      <c r="M59" s="6"/>
      <c r="N59" s="6"/>
      <c r="O59" s="6"/>
      <c r="P59" s="6"/>
      <c r="Q59" s="6"/>
      <c r="R59" s="6"/>
      <c r="S59" s="6"/>
      <c r="T59" s="6"/>
    </row>
    <row r="60" spans="1:20" x14ac:dyDescent="0.3">
      <c r="A60" s="362" t="s">
        <v>327</v>
      </c>
      <c r="B60" s="249">
        <v>2.0939999999999999</v>
      </c>
      <c r="C60" s="249">
        <v>0.81200000000000006</v>
      </c>
      <c r="D60" s="249">
        <f t="shared" si="2"/>
        <v>1.2819999999999998</v>
      </c>
      <c r="E60" s="269">
        <f>B60/B50</f>
        <v>8.5328334793504605E-3</v>
      </c>
      <c r="M60" s="6"/>
      <c r="N60" s="6"/>
      <c r="O60" s="6"/>
      <c r="P60" s="6"/>
      <c r="Q60" s="6"/>
      <c r="R60" s="6"/>
      <c r="S60" s="6"/>
      <c r="T60" s="6"/>
    </row>
    <row r="61" spans="1:20" x14ac:dyDescent="0.3">
      <c r="A61" s="362" t="s">
        <v>329</v>
      </c>
      <c r="B61" s="249">
        <v>1.871</v>
      </c>
      <c r="C61" s="249">
        <v>0.69199999999999995</v>
      </c>
      <c r="D61" s="249">
        <f t="shared" si="2"/>
        <v>1.179</v>
      </c>
      <c r="E61" s="269">
        <f>B61/B50</f>
        <v>7.6241315376622317E-3</v>
      </c>
      <c r="M61" s="6"/>
      <c r="N61" s="6"/>
      <c r="O61" s="6"/>
      <c r="P61" s="6"/>
      <c r="Q61" s="6"/>
      <c r="R61" s="6"/>
      <c r="S61" s="6"/>
      <c r="T61" s="6"/>
    </row>
    <row r="62" spans="1:20" ht="15" thickBot="1" x14ac:dyDescent="0.35">
      <c r="A62" s="363" t="s">
        <v>140</v>
      </c>
      <c r="B62" s="251">
        <v>1.7869999999999999</v>
      </c>
      <c r="C62" s="251">
        <v>1.069</v>
      </c>
      <c r="D62" s="251">
        <f t="shared" si="2"/>
        <v>0.71799999999999997</v>
      </c>
      <c r="E62" s="270">
        <f>B62/B50</f>
        <v>7.2818402233043337E-3</v>
      </c>
      <c r="M62" s="6"/>
      <c r="N62" s="6"/>
      <c r="O62" s="6"/>
      <c r="P62" s="6"/>
      <c r="Q62" s="6"/>
      <c r="R62" s="6"/>
      <c r="S62" s="6"/>
      <c r="T62" s="6"/>
    </row>
    <row r="63" spans="1:20" x14ac:dyDescent="0.3">
      <c r="B63" s="6"/>
      <c r="C63" s="18"/>
      <c r="D63" s="18"/>
      <c r="L63" s="6"/>
      <c r="M63" s="6"/>
      <c r="N63" s="6"/>
      <c r="O63" s="6"/>
      <c r="P63" s="6"/>
      <c r="Q63" s="6"/>
      <c r="R63" s="6"/>
      <c r="S63" s="6"/>
      <c r="T63" s="33"/>
    </row>
    <row r="64" spans="1:20" x14ac:dyDescent="0.3">
      <c r="B64" s="6"/>
      <c r="C64" s="18"/>
      <c r="D64" s="18"/>
      <c r="L64" s="6"/>
      <c r="M64" s="6"/>
      <c r="N64" s="6"/>
      <c r="O64" s="6"/>
      <c r="P64" s="6"/>
      <c r="Q64" s="6"/>
      <c r="R64" s="6"/>
      <c r="S64" s="6"/>
      <c r="T64" s="33"/>
    </row>
    <row r="65" spans="1:21" x14ac:dyDescent="0.3">
      <c r="B65" s="6"/>
      <c r="C65" s="18"/>
      <c r="D65" s="18"/>
      <c r="L65" s="6"/>
      <c r="M65" s="6"/>
      <c r="N65" s="6"/>
      <c r="O65" s="6"/>
      <c r="P65" s="6"/>
      <c r="Q65" s="6"/>
      <c r="R65" s="6"/>
      <c r="S65" s="6"/>
      <c r="T65" s="33"/>
    </row>
    <row r="66" spans="1:21" ht="15" thickBot="1" x14ac:dyDescent="0.35">
      <c r="A66" s="19" t="s">
        <v>509</v>
      </c>
      <c r="C66" s="18"/>
      <c r="D66" s="18"/>
      <c r="L66" s="6"/>
      <c r="M66" s="6"/>
      <c r="N66" s="6"/>
      <c r="O66" s="6"/>
      <c r="P66" s="6"/>
      <c r="Q66" s="6"/>
      <c r="R66" s="6"/>
      <c r="S66" s="6"/>
      <c r="T66" s="33"/>
    </row>
    <row r="67" spans="1:21" ht="28.8" x14ac:dyDescent="0.3">
      <c r="A67" s="243" t="s">
        <v>353</v>
      </c>
      <c r="B67" s="244" t="s">
        <v>351</v>
      </c>
      <c r="C67" s="244" t="s">
        <v>340</v>
      </c>
      <c r="D67" s="524" t="s">
        <v>34</v>
      </c>
      <c r="E67" s="245" t="s">
        <v>778</v>
      </c>
      <c r="L67" s="6"/>
      <c r="M67" s="6"/>
      <c r="N67" s="6"/>
      <c r="O67" s="6"/>
      <c r="P67" s="6"/>
      <c r="Q67" s="6"/>
      <c r="R67" s="6"/>
      <c r="S67" s="6"/>
      <c r="T67" s="33"/>
    </row>
    <row r="68" spans="1:21" ht="19.2" customHeight="1" x14ac:dyDescent="0.3">
      <c r="A68" s="246" t="s">
        <v>355</v>
      </c>
      <c r="B68" s="123">
        <f>SUM(B69:B80)</f>
        <v>90.458500000000015</v>
      </c>
      <c r="C68" s="123">
        <f>SUM(C69:C80)</f>
        <v>75.90600000000002</v>
      </c>
      <c r="D68" s="649">
        <f>B68-C68</f>
        <v>14.552499999999995</v>
      </c>
      <c r="E68" s="261">
        <f>B68+C68</f>
        <v>166.36450000000002</v>
      </c>
      <c r="L68" s="6"/>
      <c r="M68" s="6"/>
      <c r="N68" s="6"/>
      <c r="O68" s="6"/>
      <c r="P68" s="6"/>
      <c r="Q68" s="6"/>
      <c r="R68" s="6"/>
      <c r="S68" s="6"/>
      <c r="T68" s="33"/>
    </row>
    <row r="69" spans="1:21" s="12" customFormat="1" x14ac:dyDescent="0.3">
      <c r="A69" s="248" t="s">
        <v>331</v>
      </c>
      <c r="B69" s="249">
        <f t="shared" ref="B69:B80" si="3">B14</f>
        <v>23.7</v>
      </c>
      <c r="C69" s="249">
        <v>18.724</v>
      </c>
      <c r="D69" s="650">
        <f t="shared" ref="D69:D80" si="4">B69-C69</f>
        <v>4.9759999999999991</v>
      </c>
      <c r="E69" s="262">
        <f>B69+C69</f>
        <v>42.423999999999999</v>
      </c>
      <c r="F69" s="6"/>
      <c r="G69" s="117"/>
      <c r="H69" s="226"/>
      <c r="I69" s="117"/>
      <c r="M69" s="236"/>
      <c r="N69" s="236">
        <f>B70/B68</f>
        <v>0.29871156386630326</v>
      </c>
      <c r="O69" s="236"/>
      <c r="P69" s="236"/>
      <c r="Q69" s="236"/>
      <c r="R69" s="236"/>
      <c r="S69" s="236"/>
      <c r="T69" s="236"/>
      <c r="U69" s="228"/>
    </row>
    <row r="70" spans="1:21" x14ac:dyDescent="0.3">
      <c r="A70" s="248" t="s">
        <v>330</v>
      </c>
      <c r="B70" s="249">
        <f t="shared" si="3"/>
        <v>27.021000000000001</v>
      </c>
      <c r="C70" s="249">
        <v>4.1180000000000003</v>
      </c>
      <c r="D70" s="650">
        <f t="shared" si="4"/>
        <v>22.902999999999999</v>
      </c>
      <c r="E70" s="262">
        <f t="shared" ref="E70:E80" si="5">B70+C70</f>
        <v>31.139000000000003</v>
      </c>
      <c r="F70" s="6"/>
      <c r="G70" s="139"/>
      <c r="H70" s="234"/>
      <c r="I70" s="202"/>
      <c r="M70" s="6"/>
      <c r="N70" s="6"/>
      <c r="O70" s="6"/>
      <c r="P70" s="6"/>
      <c r="Q70" s="6"/>
      <c r="R70" s="6"/>
      <c r="S70" s="6"/>
      <c r="T70" s="6"/>
      <c r="U70" s="33"/>
    </row>
    <row r="71" spans="1:21" x14ac:dyDescent="0.3">
      <c r="A71" s="248" t="s">
        <v>138</v>
      </c>
      <c r="B71" s="249">
        <f t="shared" si="3"/>
        <v>14.762</v>
      </c>
      <c r="C71" s="249">
        <v>30.376999999999999</v>
      </c>
      <c r="D71" s="650">
        <f t="shared" si="4"/>
        <v>-15.614999999999998</v>
      </c>
      <c r="E71" s="262">
        <f t="shared" si="5"/>
        <v>45.138999999999996</v>
      </c>
      <c r="F71" s="6"/>
      <c r="G71" s="130"/>
      <c r="H71" s="234"/>
      <c r="I71" s="202"/>
      <c r="O71" s="18"/>
      <c r="S71" s="6"/>
      <c r="T71" s="33"/>
      <c r="U71" s="33"/>
    </row>
    <row r="72" spans="1:21" x14ac:dyDescent="0.3">
      <c r="A72" s="248" t="s">
        <v>328</v>
      </c>
      <c r="B72" s="249">
        <f t="shared" si="3"/>
        <v>5.5720000000000001</v>
      </c>
      <c r="C72" s="249">
        <v>10.875999999999999</v>
      </c>
      <c r="D72" s="650">
        <f t="shared" si="4"/>
        <v>-5.3039999999999994</v>
      </c>
      <c r="E72" s="262">
        <f t="shared" si="5"/>
        <v>16.448</v>
      </c>
      <c r="F72" s="6"/>
      <c r="G72" s="233"/>
      <c r="H72" s="205"/>
      <c r="I72" s="232"/>
      <c r="O72" s="18"/>
      <c r="S72" s="6"/>
      <c r="T72" s="33"/>
      <c r="U72" s="33"/>
    </row>
    <row r="73" spans="1:21" x14ac:dyDescent="0.3">
      <c r="A73" s="248" t="s">
        <v>333</v>
      </c>
      <c r="B73" s="249">
        <f t="shared" si="3"/>
        <v>8.3949999999999996</v>
      </c>
      <c r="C73" s="249">
        <v>5.9820000000000002</v>
      </c>
      <c r="D73" s="650">
        <f t="shared" si="4"/>
        <v>2.4129999999999994</v>
      </c>
      <c r="E73" s="262">
        <f t="shared" si="5"/>
        <v>14.376999999999999</v>
      </c>
      <c r="F73" s="230"/>
      <c r="G73" s="233"/>
      <c r="H73" s="205"/>
      <c r="I73" s="232"/>
      <c r="O73" s="18"/>
      <c r="S73" s="6"/>
      <c r="T73" s="33"/>
      <c r="U73" s="33"/>
    </row>
    <row r="74" spans="1:21" x14ac:dyDescent="0.3">
      <c r="A74" s="248" t="s">
        <v>139</v>
      </c>
      <c r="B74" s="249">
        <f t="shared" si="3"/>
        <v>1.7010000000000001</v>
      </c>
      <c r="C74" s="249">
        <v>4.0000000000000001E-3</v>
      </c>
      <c r="D74" s="650">
        <f t="shared" si="4"/>
        <v>1.6970000000000001</v>
      </c>
      <c r="E74" s="262">
        <f t="shared" si="5"/>
        <v>1.7050000000000001</v>
      </c>
      <c r="F74" s="230"/>
      <c r="G74" s="233"/>
      <c r="H74" s="205"/>
      <c r="I74" s="232"/>
      <c r="O74" s="18"/>
      <c r="S74" s="6"/>
      <c r="T74" s="33"/>
      <c r="U74" s="33"/>
    </row>
    <row r="75" spans="1:21" x14ac:dyDescent="0.3">
      <c r="A75" s="248" t="s">
        <v>335</v>
      </c>
      <c r="B75" s="249">
        <f t="shared" si="3"/>
        <v>4.915</v>
      </c>
      <c r="C75" s="249">
        <v>2.665</v>
      </c>
      <c r="D75" s="650">
        <f t="shared" si="4"/>
        <v>2.25</v>
      </c>
      <c r="E75" s="262">
        <f t="shared" si="5"/>
        <v>7.58</v>
      </c>
      <c r="F75" s="230"/>
      <c r="G75" s="233"/>
      <c r="H75" s="205"/>
      <c r="I75" s="232"/>
      <c r="O75" s="18"/>
      <c r="S75" s="6"/>
      <c r="T75" s="33"/>
      <c r="U75" s="33"/>
    </row>
    <row r="76" spans="1:21" x14ac:dyDescent="0.3">
      <c r="A76" s="248" t="s">
        <v>334</v>
      </c>
      <c r="B76" s="249">
        <f t="shared" si="3"/>
        <v>1.048</v>
      </c>
      <c r="C76" s="249">
        <v>0.38200000000000001</v>
      </c>
      <c r="D76" s="650">
        <f t="shared" si="4"/>
        <v>0.66600000000000004</v>
      </c>
      <c r="E76" s="262">
        <f t="shared" si="5"/>
        <v>1.4300000000000002</v>
      </c>
      <c r="F76" s="230"/>
      <c r="G76" s="233"/>
      <c r="H76" s="205"/>
      <c r="I76" s="232"/>
      <c r="O76" s="18"/>
      <c r="S76" s="6"/>
      <c r="T76" s="33"/>
      <c r="U76" s="33"/>
    </row>
    <row r="77" spans="1:21" x14ac:dyDescent="0.3">
      <c r="A77" s="248" t="s">
        <v>338</v>
      </c>
      <c r="B77" s="249">
        <f t="shared" si="3"/>
        <v>0.54</v>
      </c>
      <c r="C77" s="249">
        <v>1.228</v>
      </c>
      <c r="D77" s="650">
        <f t="shared" si="4"/>
        <v>-0.68799999999999994</v>
      </c>
      <c r="E77" s="262">
        <f t="shared" si="5"/>
        <v>1.768</v>
      </c>
      <c r="F77" s="230"/>
      <c r="G77" s="233"/>
      <c r="H77" s="205"/>
      <c r="I77" s="232"/>
      <c r="O77" s="18"/>
      <c r="S77" s="6"/>
      <c r="T77" s="33"/>
      <c r="U77" s="33"/>
    </row>
    <row r="78" spans="1:21" x14ac:dyDescent="0.3">
      <c r="A78" s="248" t="s">
        <v>327</v>
      </c>
      <c r="B78" s="249">
        <f t="shared" si="3"/>
        <v>1.0469999999999999</v>
      </c>
      <c r="C78" s="249">
        <v>0.40600000000000003</v>
      </c>
      <c r="D78" s="650">
        <f t="shared" si="4"/>
        <v>0.6409999999999999</v>
      </c>
      <c r="E78" s="262">
        <f t="shared" si="5"/>
        <v>1.4529999999999998</v>
      </c>
      <c r="F78" s="230"/>
      <c r="G78" s="233"/>
      <c r="H78" s="205"/>
      <c r="I78" s="232"/>
      <c r="O78" s="18"/>
      <c r="S78" s="6"/>
      <c r="T78" s="33"/>
      <c r="U78" s="33"/>
    </row>
    <row r="79" spans="1:21" x14ac:dyDescent="0.3">
      <c r="A79" s="248" t="s">
        <v>329</v>
      </c>
      <c r="B79" s="249">
        <f t="shared" si="3"/>
        <v>0.9355</v>
      </c>
      <c r="C79" s="249">
        <v>0.34599999999999997</v>
      </c>
      <c r="D79" s="650">
        <f t="shared" si="4"/>
        <v>0.58950000000000002</v>
      </c>
      <c r="E79" s="262">
        <f t="shared" si="5"/>
        <v>1.2814999999999999</v>
      </c>
      <c r="F79" s="230"/>
      <c r="G79" s="233"/>
      <c r="H79" s="205"/>
      <c r="I79" s="232"/>
      <c r="O79" s="18"/>
      <c r="S79" s="6"/>
      <c r="T79" s="33"/>
      <c r="U79" s="33"/>
    </row>
    <row r="80" spans="1:21" ht="18" customHeight="1" thickBot="1" x14ac:dyDescent="0.35">
      <c r="A80" s="250" t="s">
        <v>140</v>
      </c>
      <c r="B80" s="251">
        <f t="shared" si="3"/>
        <v>0.82199999999999995</v>
      </c>
      <c r="C80" s="251">
        <v>0.79800000000000004</v>
      </c>
      <c r="D80" s="651">
        <f t="shared" si="4"/>
        <v>2.399999999999991E-2</v>
      </c>
      <c r="E80" s="263">
        <f t="shared" si="5"/>
        <v>1.62</v>
      </c>
      <c r="F80" s="259">
        <f>E80/2</f>
        <v>0.81</v>
      </c>
      <c r="G80" s="237"/>
      <c r="H80" s="237"/>
      <c r="I80" s="237"/>
      <c r="J80" s="237"/>
      <c r="N80" s="18"/>
      <c r="R80" s="6"/>
      <c r="S80" s="33"/>
      <c r="T80" s="33"/>
    </row>
    <row r="81" spans="1:21" ht="42" customHeight="1" thickBot="1" x14ac:dyDescent="0.35">
      <c r="A81" s="237"/>
      <c r="B81" s="260"/>
      <c r="C81" s="260"/>
      <c r="D81" s="237"/>
      <c r="E81" s="237"/>
      <c r="F81" s="237"/>
      <c r="G81" s="237"/>
      <c r="H81" s="237"/>
      <c r="I81" s="237"/>
      <c r="J81" s="237"/>
      <c r="N81" s="18"/>
      <c r="R81" s="6"/>
      <c r="S81" s="33"/>
      <c r="T81" s="33"/>
    </row>
    <row r="82" spans="1:21" ht="28.8" x14ac:dyDescent="0.3">
      <c r="A82" s="243" t="s">
        <v>354</v>
      </c>
      <c r="B82" s="244" t="s">
        <v>352</v>
      </c>
      <c r="C82" s="244" t="s">
        <v>341</v>
      </c>
      <c r="D82" s="245" t="s">
        <v>34</v>
      </c>
      <c r="E82" s="245" t="s">
        <v>778</v>
      </c>
      <c r="L82" s="6"/>
      <c r="M82" s="6"/>
      <c r="N82" s="6"/>
      <c r="O82" s="6"/>
      <c r="P82" s="6"/>
      <c r="Q82" s="6"/>
      <c r="R82" s="6"/>
      <c r="S82" s="6"/>
      <c r="T82" s="33"/>
    </row>
    <row r="83" spans="1:21" ht="19.2" customHeight="1" x14ac:dyDescent="0.3">
      <c r="A83" s="246" t="s">
        <v>355</v>
      </c>
      <c r="B83" s="123">
        <f>C26</f>
        <v>154.94649999999999</v>
      </c>
      <c r="C83" s="123">
        <f>SUM(C84:C95)</f>
        <v>76.821999999999989</v>
      </c>
      <c r="D83" s="261">
        <f>B83-C83</f>
        <v>78.124499999999998</v>
      </c>
      <c r="E83" s="261">
        <f>B83+C83</f>
        <v>231.76849999999996</v>
      </c>
      <c r="L83" s="6"/>
      <c r="M83" s="6"/>
      <c r="N83" s="6"/>
      <c r="O83" s="6"/>
      <c r="P83" s="6"/>
      <c r="Q83" s="6"/>
      <c r="R83" s="6"/>
      <c r="S83" s="6"/>
      <c r="T83" s="33"/>
    </row>
    <row r="84" spans="1:21" s="12" customFormat="1" x14ac:dyDescent="0.3">
      <c r="A84" s="248" t="s">
        <v>331</v>
      </c>
      <c r="B84" s="249">
        <f t="shared" ref="B84:B95" si="6">C14</f>
        <v>42.349999999999994</v>
      </c>
      <c r="C84" s="249">
        <f>C51-C69</f>
        <v>24.584999999999997</v>
      </c>
      <c r="D84" s="262">
        <f t="shared" ref="D84:D95" si="7">B84-C84</f>
        <v>17.764999999999997</v>
      </c>
      <c r="E84" s="262">
        <f>B84+C84</f>
        <v>66.934999999999988</v>
      </c>
      <c r="F84" s="19"/>
      <c r="G84" s="117"/>
      <c r="H84" s="226"/>
      <c r="I84" s="117"/>
      <c r="M84" s="238"/>
      <c r="N84" s="238"/>
      <c r="O84" s="238"/>
      <c r="P84" s="238"/>
      <c r="Q84" s="238"/>
      <c r="R84" s="238"/>
      <c r="S84" s="238"/>
      <c r="T84" s="238"/>
      <c r="U84" s="228"/>
    </row>
    <row r="85" spans="1:21" x14ac:dyDescent="0.3">
      <c r="A85" s="248" t="s">
        <v>330</v>
      </c>
      <c r="B85" s="249">
        <f t="shared" si="6"/>
        <v>34.362000000000002</v>
      </c>
      <c r="C85" s="249">
        <f>C52-C70</f>
        <v>6.48</v>
      </c>
      <c r="D85" s="262">
        <f t="shared" si="7"/>
        <v>27.882000000000001</v>
      </c>
      <c r="E85" s="262">
        <f t="shared" ref="E85:E95" si="8">B85+C85</f>
        <v>40.841999999999999</v>
      </c>
      <c r="F85" s="19"/>
      <c r="G85" s="139"/>
      <c r="H85" s="234"/>
      <c r="I85" s="202"/>
      <c r="M85" s="6"/>
      <c r="N85" s="6"/>
      <c r="O85" s="6"/>
      <c r="P85" s="6"/>
      <c r="Q85" s="6"/>
      <c r="R85" s="6"/>
      <c r="S85" s="6"/>
      <c r="T85" s="6"/>
      <c r="U85" s="33"/>
    </row>
    <row r="86" spans="1:21" x14ac:dyDescent="0.3">
      <c r="A86" s="248" t="s">
        <v>138</v>
      </c>
      <c r="B86" s="249">
        <f t="shared" si="6"/>
        <v>15.994</v>
      </c>
      <c r="C86" s="249">
        <f t="shared" ref="C86:C95" si="9">C53-C71</f>
        <v>17.611999999999998</v>
      </c>
      <c r="D86" s="262">
        <f t="shared" si="7"/>
        <v>-1.6179999999999986</v>
      </c>
      <c r="E86" s="262">
        <f t="shared" si="8"/>
        <v>33.605999999999995</v>
      </c>
      <c r="F86" s="19"/>
      <c r="G86" s="130"/>
      <c r="H86" s="234"/>
      <c r="I86" s="202"/>
      <c r="O86" s="18"/>
      <c r="S86" s="6"/>
      <c r="T86" s="33"/>
      <c r="U86" s="33"/>
    </row>
    <row r="87" spans="1:21" x14ac:dyDescent="0.3">
      <c r="A87" s="248" t="s">
        <v>328</v>
      </c>
      <c r="B87" s="249">
        <f t="shared" si="6"/>
        <v>20.378</v>
      </c>
      <c r="C87" s="249">
        <f t="shared" si="9"/>
        <v>11.200000000000001</v>
      </c>
      <c r="D87" s="262">
        <f t="shared" si="7"/>
        <v>9.177999999999999</v>
      </c>
      <c r="E87" s="262">
        <f t="shared" si="8"/>
        <v>31.578000000000003</v>
      </c>
      <c r="F87" s="230"/>
      <c r="G87" s="233"/>
      <c r="H87" s="205"/>
      <c r="I87" s="232"/>
      <c r="O87" s="18"/>
      <c r="S87" s="6"/>
      <c r="T87" s="33"/>
      <c r="U87" s="33"/>
    </row>
    <row r="88" spans="1:21" x14ac:dyDescent="0.3">
      <c r="A88" s="248" t="s">
        <v>333</v>
      </c>
      <c r="B88" s="249">
        <f t="shared" si="6"/>
        <v>10.641000000000002</v>
      </c>
      <c r="C88" s="249">
        <f t="shared" si="9"/>
        <v>4.7489999999999997</v>
      </c>
      <c r="D88" s="262">
        <f t="shared" si="7"/>
        <v>5.8920000000000021</v>
      </c>
      <c r="E88" s="262">
        <f t="shared" si="8"/>
        <v>15.39</v>
      </c>
      <c r="F88" s="230"/>
      <c r="G88" s="233"/>
      <c r="H88" s="205"/>
      <c r="I88" s="232"/>
      <c r="O88" s="18"/>
      <c r="S88" s="6"/>
      <c r="T88" s="33"/>
      <c r="U88" s="33"/>
    </row>
    <row r="89" spans="1:21" x14ac:dyDescent="0.3">
      <c r="A89" s="248" t="s">
        <v>139</v>
      </c>
      <c r="B89" s="249">
        <f t="shared" si="6"/>
        <v>15.928999999999998</v>
      </c>
      <c r="C89" s="249">
        <f t="shared" si="9"/>
        <v>0.19500000000000001</v>
      </c>
      <c r="D89" s="262">
        <f t="shared" si="7"/>
        <v>15.733999999999998</v>
      </c>
      <c r="E89" s="262">
        <f t="shared" si="8"/>
        <v>16.123999999999999</v>
      </c>
      <c r="F89" s="230"/>
      <c r="G89" s="233"/>
      <c r="H89" s="205"/>
      <c r="I89" s="232"/>
      <c r="O89" s="18"/>
      <c r="S89" s="6"/>
      <c r="T89" s="33"/>
      <c r="U89" s="33"/>
    </row>
    <row r="90" spans="1:21" x14ac:dyDescent="0.3">
      <c r="A90" s="248" t="s">
        <v>335</v>
      </c>
      <c r="B90" s="249">
        <f t="shared" si="6"/>
        <v>7.7339999999999991</v>
      </c>
      <c r="C90" s="249">
        <f t="shared" si="9"/>
        <v>5.8820000000000006</v>
      </c>
      <c r="D90" s="262">
        <f t="shared" si="7"/>
        <v>1.8519999999999985</v>
      </c>
      <c r="E90" s="262">
        <f t="shared" si="8"/>
        <v>13.616</v>
      </c>
      <c r="F90" s="230"/>
      <c r="G90" s="233"/>
      <c r="H90" s="205"/>
      <c r="I90" s="232"/>
      <c r="O90" s="18"/>
      <c r="S90" s="6"/>
      <c r="T90" s="33"/>
      <c r="U90" s="33"/>
    </row>
    <row r="91" spans="1:21" x14ac:dyDescent="0.3">
      <c r="A91" s="248" t="s">
        <v>334</v>
      </c>
      <c r="B91" s="249">
        <f t="shared" si="6"/>
        <v>2.5829999999999997</v>
      </c>
      <c r="C91" s="249">
        <f t="shared" si="9"/>
        <v>3.157</v>
      </c>
      <c r="D91" s="262">
        <f t="shared" si="7"/>
        <v>-0.57400000000000029</v>
      </c>
      <c r="E91" s="262">
        <f t="shared" si="8"/>
        <v>5.74</v>
      </c>
      <c r="F91" s="230"/>
      <c r="G91" s="233"/>
      <c r="H91" s="205"/>
      <c r="I91" s="232"/>
      <c r="O91" s="18"/>
      <c r="S91" s="6"/>
      <c r="T91" s="33"/>
      <c r="U91" s="33"/>
    </row>
    <row r="92" spans="1:21" x14ac:dyDescent="0.3">
      <c r="A92" s="248" t="s">
        <v>338</v>
      </c>
      <c r="B92" s="249">
        <f t="shared" si="6"/>
        <v>2.028</v>
      </c>
      <c r="C92" s="249">
        <f t="shared" si="9"/>
        <v>1.9389999999999998</v>
      </c>
      <c r="D92" s="262">
        <f t="shared" si="7"/>
        <v>8.900000000000019E-2</v>
      </c>
      <c r="E92" s="262">
        <f t="shared" si="8"/>
        <v>3.9669999999999996</v>
      </c>
      <c r="F92" s="230"/>
      <c r="G92" s="233"/>
      <c r="H92" s="205"/>
      <c r="I92" s="232"/>
      <c r="O92" s="18"/>
      <c r="S92" s="6"/>
      <c r="T92" s="33"/>
      <c r="U92" s="33"/>
    </row>
    <row r="93" spans="1:21" x14ac:dyDescent="0.3">
      <c r="A93" s="248" t="s">
        <v>327</v>
      </c>
      <c r="B93" s="249">
        <f t="shared" si="6"/>
        <v>1.0469999999999999</v>
      </c>
      <c r="C93" s="249">
        <f t="shared" si="9"/>
        <v>0.40600000000000003</v>
      </c>
      <c r="D93" s="262">
        <f t="shared" si="7"/>
        <v>0.6409999999999999</v>
      </c>
      <c r="E93" s="262">
        <f t="shared" si="8"/>
        <v>1.4529999999999998</v>
      </c>
      <c r="F93" s="230"/>
      <c r="G93" s="233"/>
      <c r="H93" s="205"/>
      <c r="I93" s="232"/>
      <c r="O93" s="18"/>
      <c r="S93" s="6"/>
      <c r="T93" s="33"/>
      <c r="U93" s="33"/>
    </row>
    <row r="94" spans="1:21" x14ac:dyDescent="0.3">
      <c r="A94" s="248" t="s">
        <v>329</v>
      </c>
      <c r="B94" s="249">
        <f t="shared" si="6"/>
        <v>0.9355</v>
      </c>
      <c r="C94" s="249">
        <f t="shared" si="9"/>
        <v>0.34599999999999997</v>
      </c>
      <c r="D94" s="262">
        <f t="shared" si="7"/>
        <v>0.58950000000000002</v>
      </c>
      <c r="E94" s="262">
        <f t="shared" si="8"/>
        <v>1.2814999999999999</v>
      </c>
      <c r="F94" s="230"/>
      <c r="G94" s="233"/>
      <c r="H94" s="205"/>
      <c r="I94" s="232"/>
      <c r="O94" s="18"/>
      <c r="S94" s="6"/>
      <c r="T94" s="33"/>
      <c r="U94" s="33"/>
    </row>
    <row r="95" spans="1:21" ht="18" customHeight="1" thickBot="1" x14ac:dyDescent="0.35">
      <c r="A95" s="250" t="s">
        <v>140</v>
      </c>
      <c r="B95" s="251">
        <f t="shared" si="6"/>
        <v>0.96499999999999997</v>
      </c>
      <c r="C95" s="251">
        <f t="shared" si="9"/>
        <v>0.27099999999999991</v>
      </c>
      <c r="D95" s="263">
        <f t="shared" si="7"/>
        <v>0.69400000000000006</v>
      </c>
      <c r="E95" s="263">
        <f t="shared" si="8"/>
        <v>1.2359999999999998</v>
      </c>
      <c r="F95" s="259">
        <f>E95/2</f>
        <v>0.61799999999999988</v>
      </c>
      <c r="G95" s="237"/>
      <c r="H95" s="237"/>
      <c r="I95" s="237"/>
      <c r="J95" s="237"/>
      <c r="N95" s="18"/>
      <c r="R95" s="6"/>
      <c r="S95" s="33"/>
      <c r="T95" s="33"/>
    </row>
    <row r="96" spans="1:21" ht="18" customHeight="1" x14ac:dyDescent="0.3">
      <c r="A96" s="265"/>
      <c r="B96" s="249"/>
      <c r="C96" s="249"/>
      <c r="D96" s="249"/>
      <c r="E96" s="259"/>
      <c r="F96" s="259"/>
      <c r="G96" s="241"/>
      <c r="H96" s="241"/>
      <c r="I96" s="241"/>
      <c r="J96" s="241"/>
      <c r="N96" s="18"/>
      <c r="R96" s="6"/>
      <c r="S96" s="33"/>
      <c r="T96" s="33"/>
    </row>
    <row r="97" spans="1:24" ht="18" customHeight="1" x14ac:dyDescent="0.3">
      <c r="A97" s="265"/>
      <c r="B97" s="249"/>
      <c r="C97" s="249"/>
      <c r="D97" s="249"/>
      <c r="E97" s="259"/>
      <c r="F97" s="259"/>
      <c r="G97" s="359"/>
      <c r="H97" s="359"/>
      <c r="I97" s="359"/>
      <c r="J97" s="359"/>
      <c r="N97" s="18"/>
      <c r="R97" s="6"/>
      <c r="S97" s="33"/>
      <c r="T97" s="33"/>
    </row>
    <row r="98" spans="1:24" s="6" customFormat="1" ht="21" customHeight="1" x14ac:dyDescent="0.3">
      <c r="A98" s="678" t="s">
        <v>594</v>
      </c>
      <c r="B98" s="678"/>
      <c r="C98" s="678"/>
      <c r="D98" s="678"/>
      <c r="E98" s="678"/>
      <c r="G98" s="19"/>
      <c r="H98" s="19"/>
      <c r="R98" s="19"/>
      <c r="W98" s="94"/>
      <c r="X98" s="94"/>
    </row>
    <row r="99" spans="1:24" s="6" customFormat="1" ht="41.4" customHeight="1" x14ac:dyDescent="0.3">
      <c r="A99" s="682" t="s">
        <v>577</v>
      </c>
      <c r="B99" s="682"/>
      <c r="C99" s="682"/>
      <c r="D99" s="682"/>
      <c r="E99" s="682"/>
      <c r="F99" s="682"/>
      <c r="G99" s="682"/>
      <c r="H99" s="682"/>
      <c r="I99" s="682"/>
      <c r="J99" s="682"/>
      <c r="K99" s="682"/>
      <c r="R99" s="19"/>
      <c r="W99" s="94"/>
      <c r="X99" s="94"/>
    </row>
    <row r="100" spans="1:24" s="6" customFormat="1" ht="33" customHeight="1" x14ac:dyDescent="0.3">
      <c r="A100" s="674" t="s">
        <v>578</v>
      </c>
      <c r="B100" s="674"/>
      <c r="C100" s="674"/>
      <c r="D100" s="674"/>
      <c r="E100" s="674"/>
      <c r="F100" s="674"/>
      <c r="G100" s="674"/>
      <c r="H100" s="674"/>
      <c r="I100" s="674"/>
      <c r="J100" s="674"/>
      <c r="K100" s="674"/>
      <c r="L100" s="674"/>
      <c r="M100" s="674"/>
      <c r="R100" s="19"/>
      <c r="W100" s="94"/>
      <c r="X100" s="94"/>
    </row>
    <row r="101" spans="1:24" s="6" customFormat="1" ht="43.2" x14ac:dyDescent="0.3">
      <c r="A101" s="214" t="s">
        <v>181</v>
      </c>
      <c r="B101" s="113" t="s">
        <v>470</v>
      </c>
      <c r="C101" s="111" t="s">
        <v>593</v>
      </c>
      <c r="D101" s="113" t="s">
        <v>471</v>
      </c>
      <c r="E101" s="142" t="s">
        <v>592</v>
      </c>
      <c r="G101" s="113" t="s">
        <v>591</v>
      </c>
      <c r="H101" s="215" t="s">
        <v>65</v>
      </c>
      <c r="I101" s="212" t="s">
        <v>95</v>
      </c>
      <c r="R101" s="19"/>
      <c r="W101" s="94"/>
      <c r="X101" s="94"/>
    </row>
    <row r="102" spans="1:24" s="6" customFormat="1" x14ac:dyDescent="0.3">
      <c r="A102" s="70" t="s">
        <v>137</v>
      </c>
      <c r="B102" s="138">
        <f>B133</f>
        <v>42.936227819452746</v>
      </c>
      <c r="C102" s="120">
        <f>C133</f>
        <v>96.625858736331438</v>
      </c>
      <c r="D102" s="138">
        <f>B134</f>
        <v>45.164281844345851</v>
      </c>
      <c r="E102" s="143">
        <f>C134</f>
        <v>72.58821572094196</v>
      </c>
      <c r="G102" s="70" t="s">
        <v>96</v>
      </c>
      <c r="H102" s="160">
        <f>E133</f>
        <v>1.2504505785334499</v>
      </c>
      <c r="I102" s="216">
        <f>E135</f>
        <v>1.3823817447454749</v>
      </c>
      <c r="L102" s="540"/>
      <c r="R102" s="19"/>
      <c r="W102" s="94"/>
      <c r="X102" s="94"/>
    </row>
    <row r="103" spans="1:24" s="6" customFormat="1" x14ac:dyDescent="0.3">
      <c r="A103" s="144" t="s">
        <v>64</v>
      </c>
      <c r="B103" s="145">
        <f>B135</f>
        <v>61.528367347582957</v>
      </c>
      <c r="C103" s="146">
        <f>C135</f>
        <v>146.5840591528752</v>
      </c>
      <c r="D103" s="145">
        <f>B136</f>
        <v>35.932206413159356</v>
      </c>
      <c r="E103" s="147">
        <f>C136</f>
        <v>75.277222945154222</v>
      </c>
      <c r="G103" s="144" t="s">
        <v>86</v>
      </c>
      <c r="H103" s="190">
        <f>E134</f>
        <v>0.60720402842028876</v>
      </c>
      <c r="I103" s="217">
        <f>E136</f>
        <v>1.0949791415421026</v>
      </c>
      <c r="L103" s="541">
        <f>C102/(C103+C102)</f>
        <v>0.39729407244135906</v>
      </c>
      <c r="M103" s="658">
        <f>1-L103</f>
        <v>0.60270592755864094</v>
      </c>
      <c r="R103" s="19"/>
      <c r="W103" s="94"/>
      <c r="X103" s="94"/>
    </row>
    <row r="104" spans="1:24" s="6" customFormat="1" ht="15.6" x14ac:dyDescent="0.3">
      <c r="A104" s="97"/>
      <c r="B104" s="20"/>
      <c r="G104" s="19"/>
      <c r="H104" s="19"/>
      <c r="R104" s="19"/>
      <c r="W104" s="94"/>
      <c r="X104" s="94"/>
    </row>
    <row r="105" spans="1:24" s="6" customFormat="1" ht="15.6" x14ac:dyDescent="0.3">
      <c r="A105" s="97"/>
      <c r="B105" s="20"/>
      <c r="G105" s="19"/>
      <c r="H105" s="19"/>
      <c r="R105" s="19"/>
      <c r="W105" s="94"/>
      <c r="X105" s="94"/>
    </row>
    <row r="106" spans="1:24" s="6" customFormat="1" ht="15.6" x14ac:dyDescent="0.3">
      <c r="A106" s="97"/>
      <c r="B106" s="20"/>
      <c r="G106" s="19"/>
      <c r="H106" s="19"/>
      <c r="R106" s="19"/>
      <c r="W106" s="94"/>
      <c r="X106" s="94"/>
    </row>
    <row r="107" spans="1:24" s="6" customFormat="1" ht="15.6" x14ac:dyDescent="0.3">
      <c r="A107" s="97"/>
      <c r="B107" s="20"/>
      <c r="G107" s="19"/>
      <c r="H107" s="19"/>
      <c r="R107" s="19"/>
      <c r="W107" s="94"/>
      <c r="X107" s="94"/>
    </row>
    <row r="108" spans="1:24" s="6" customFormat="1" ht="15.6" x14ac:dyDescent="0.3">
      <c r="A108" s="97"/>
      <c r="B108" s="20"/>
      <c r="G108" s="19"/>
      <c r="H108" s="19"/>
      <c r="R108" s="19"/>
      <c r="W108" s="94"/>
      <c r="X108" s="94"/>
    </row>
    <row r="109" spans="1:24" s="6" customFormat="1" ht="15.6" x14ac:dyDescent="0.3">
      <c r="A109" s="97"/>
      <c r="B109" s="20"/>
      <c r="F109" s="91"/>
      <c r="G109" s="19"/>
      <c r="H109" s="19"/>
      <c r="R109" s="19"/>
      <c r="W109" s="94"/>
      <c r="X109" s="94"/>
    </row>
    <row r="110" spans="1:24" x14ac:dyDescent="0.3">
      <c r="A110" s="6"/>
      <c r="B110" s="6"/>
      <c r="C110" s="6"/>
      <c r="G110" s="56"/>
      <c r="H110" s="56"/>
    </row>
    <row r="111" spans="1:24" ht="28.2" customHeight="1" x14ac:dyDescent="0.3">
      <c r="A111" s="6"/>
      <c r="B111" s="6"/>
      <c r="C111" s="6"/>
      <c r="G111" s="20"/>
      <c r="H111" s="20"/>
    </row>
    <row r="112" spans="1:24" ht="25.2" customHeight="1" x14ac:dyDescent="0.3">
      <c r="A112" s="6"/>
      <c r="B112" s="6"/>
      <c r="C112" s="6"/>
      <c r="D112" s="34"/>
      <c r="G112" s="20"/>
      <c r="H112" s="20"/>
      <c r="V112" s="91" t="s">
        <v>102</v>
      </c>
    </row>
    <row r="113" spans="1:23" ht="25.2" customHeight="1" x14ac:dyDescent="0.3">
      <c r="A113" s="6"/>
      <c r="B113" s="6"/>
      <c r="C113" s="6"/>
      <c r="D113" s="69"/>
      <c r="E113" s="35"/>
      <c r="F113" s="35"/>
    </row>
    <row r="114" spans="1:23" ht="25.2" customHeight="1" x14ac:dyDescent="0.3">
      <c r="B114" s="34"/>
      <c r="C114" s="34"/>
      <c r="D114" s="69"/>
      <c r="E114" s="35"/>
      <c r="F114" s="35"/>
      <c r="V114" s="91" t="s">
        <v>151</v>
      </c>
      <c r="W114" s="91" t="s">
        <v>152</v>
      </c>
    </row>
    <row r="115" spans="1:23" ht="25.2" customHeight="1" x14ac:dyDescent="0.3">
      <c r="B115" s="34"/>
      <c r="C115" s="34"/>
      <c r="D115" s="69"/>
      <c r="E115" s="35"/>
      <c r="F115" s="35"/>
    </row>
    <row r="116" spans="1:23" ht="25.2" customHeight="1" x14ac:dyDescent="0.3">
      <c r="A116" s="201" t="s">
        <v>512</v>
      </c>
      <c r="B116" s="34"/>
      <c r="C116" s="34"/>
      <c r="D116" s="69"/>
      <c r="E116" s="35"/>
      <c r="F116" s="35"/>
    </row>
    <row r="117" spans="1:23" ht="24.6" customHeight="1" x14ac:dyDescent="0.3">
      <c r="A117" s="213" t="s">
        <v>587</v>
      </c>
      <c r="B117" s="127" t="s">
        <v>137</v>
      </c>
      <c r="C117" s="127" t="s">
        <v>133</v>
      </c>
    </row>
    <row r="118" spans="1:23" ht="28.2" customHeight="1" x14ac:dyDescent="0.3">
      <c r="A118" s="132" t="s">
        <v>84</v>
      </c>
      <c r="B118" s="118">
        <f>F133</f>
        <v>5.2002671047515214E-2</v>
      </c>
      <c r="C118" s="501">
        <f>F135</f>
        <v>5.5755152274452824E-2</v>
      </c>
    </row>
    <row r="119" spans="1:23" ht="25.2" customHeight="1" x14ac:dyDescent="0.3">
      <c r="A119" s="132" t="s">
        <v>86</v>
      </c>
      <c r="B119" s="118">
        <f>F134</f>
        <v>3.0100121196344087E-2</v>
      </c>
      <c r="C119" s="118">
        <f>F136</f>
        <v>4.7306337249057862E-2</v>
      </c>
      <c r="U119" s="91" t="s">
        <v>102</v>
      </c>
    </row>
    <row r="120" spans="1:23" ht="25.2" customHeight="1" x14ac:dyDescent="0.3">
      <c r="A120" s="69"/>
      <c r="B120" s="115"/>
      <c r="C120" s="63"/>
    </row>
    <row r="121" spans="1:23" ht="25.2" customHeight="1" x14ac:dyDescent="0.3">
      <c r="A121" s="69"/>
      <c r="B121" s="115"/>
      <c r="C121" s="63"/>
    </row>
    <row r="122" spans="1:23" ht="25.2" customHeight="1" x14ac:dyDescent="0.3">
      <c r="A122" s="69"/>
      <c r="B122" s="115"/>
      <c r="C122" s="63"/>
    </row>
    <row r="123" spans="1:23" ht="25.2" customHeight="1" x14ac:dyDescent="0.3">
      <c r="A123" s="679" t="s">
        <v>513</v>
      </c>
      <c r="B123" s="679"/>
      <c r="C123" s="679"/>
      <c r="D123" s="679"/>
      <c r="E123" s="35"/>
      <c r="F123" s="35"/>
    </row>
    <row r="124" spans="1:23" ht="25.2" customHeight="1" x14ac:dyDescent="0.3">
      <c r="A124" s="213" t="s">
        <v>185</v>
      </c>
      <c r="B124" s="127">
        <v>1999</v>
      </c>
      <c r="C124" s="127">
        <v>2017</v>
      </c>
      <c r="D124" s="69"/>
      <c r="E124" s="35"/>
      <c r="F124" s="35"/>
      <c r="V124" s="91" t="s">
        <v>151</v>
      </c>
      <c r="W124" s="91" t="s">
        <v>152</v>
      </c>
    </row>
    <row r="125" spans="1:23" ht="25.2" customHeight="1" x14ac:dyDescent="0.3">
      <c r="A125" s="133" t="s">
        <v>210</v>
      </c>
      <c r="B125" s="170">
        <f>B133/(B135+B133)</f>
        <v>0.41101224535259079</v>
      </c>
      <c r="C125" s="170">
        <f>C133/(C135+C133)</f>
        <v>0.39729407244135906</v>
      </c>
      <c r="D125" s="69"/>
      <c r="E125" s="35"/>
      <c r="F125" s="35"/>
    </row>
    <row r="126" spans="1:23" ht="25.2" customHeight="1" x14ac:dyDescent="0.3">
      <c r="A126" s="133" t="s">
        <v>211</v>
      </c>
      <c r="B126" s="170">
        <f>B134/(B136+B134)</f>
        <v>0.55692031572237721</v>
      </c>
      <c r="C126" s="170">
        <f>C134/(C136+C134)</f>
        <v>0.49090724902157679</v>
      </c>
    </row>
    <row r="127" spans="1:23" x14ac:dyDescent="0.3">
      <c r="B127" s="19"/>
      <c r="D127" s="6"/>
    </row>
    <row r="128" spans="1:23" x14ac:dyDescent="0.3">
      <c r="B128" s="19"/>
      <c r="D128" s="6"/>
    </row>
    <row r="129" spans="1:43" x14ac:dyDescent="0.3">
      <c r="B129" s="19"/>
      <c r="D129" s="6"/>
    </row>
    <row r="130" spans="1:43" x14ac:dyDescent="0.3">
      <c r="B130" s="19"/>
      <c r="D130" s="6"/>
    </row>
    <row r="131" spans="1:43" x14ac:dyDescent="0.3">
      <c r="A131" s="6" t="s">
        <v>514</v>
      </c>
      <c r="B131" s="19"/>
      <c r="D131" s="6"/>
    </row>
    <row r="132" spans="1:43" ht="28.8" x14ac:dyDescent="0.3">
      <c r="A132" s="211" t="s">
        <v>292</v>
      </c>
      <c r="B132" s="117" t="s">
        <v>515</v>
      </c>
      <c r="C132" s="117" t="s">
        <v>566</v>
      </c>
      <c r="D132" s="212" t="s">
        <v>191</v>
      </c>
      <c r="E132" s="212" t="s">
        <v>74</v>
      </c>
      <c r="F132" s="117" t="s">
        <v>507</v>
      </c>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row>
    <row r="133" spans="1:43" s="48" customFormat="1" x14ac:dyDescent="0.3">
      <c r="A133" s="136" t="s">
        <v>70</v>
      </c>
      <c r="B133" s="137">
        <f>SUM(B176:D176)/3</f>
        <v>42.936227819452746</v>
      </c>
      <c r="C133" s="137">
        <f>SUM(R176:T176)/3</f>
        <v>96.625858736331438</v>
      </c>
      <c r="D133" s="156">
        <f>C133-B133</f>
        <v>53.689630916878691</v>
      </c>
      <c r="E133" s="118">
        <f>D133/B133</f>
        <v>1.2504505785334499</v>
      </c>
      <c r="F133" s="118">
        <f>((C133/B133)^(1/16))-1</f>
        <v>5.2002671047515214E-2</v>
      </c>
      <c r="G133" s="44"/>
      <c r="H133" s="44"/>
      <c r="I133" s="44"/>
      <c r="J133" s="44"/>
      <c r="K133" s="44"/>
      <c r="L133" s="44"/>
      <c r="M133" s="116"/>
      <c r="N133" s="44"/>
      <c r="O133" s="114"/>
      <c r="P133" s="44"/>
      <c r="Q133" s="44"/>
      <c r="R133" s="114"/>
      <c r="S133" s="168"/>
      <c r="T133" s="44"/>
      <c r="U133" s="44"/>
      <c r="V133" s="44"/>
      <c r="W133" s="44"/>
      <c r="X133" s="44"/>
      <c r="Y133" s="44"/>
      <c r="Z133" s="169"/>
      <c r="AA133" s="44"/>
      <c r="AB133" s="44"/>
      <c r="AC133" s="44"/>
      <c r="AD133" s="44"/>
      <c r="AE133" s="44"/>
      <c r="AF133" s="44"/>
      <c r="AG133" s="44"/>
      <c r="AH133" s="44"/>
      <c r="AI133" s="44"/>
      <c r="AJ133" s="44"/>
      <c r="AK133" s="44"/>
      <c r="AL133" s="44"/>
      <c r="AM133" s="44"/>
      <c r="AN133" s="44"/>
      <c r="AO133" s="44"/>
      <c r="AP133" s="44"/>
      <c r="AQ133" s="44"/>
    </row>
    <row r="134" spans="1:43" x14ac:dyDescent="0.3">
      <c r="A134" s="136" t="s">
        <v>71</v>
      </c>
      <c r="B134" s="137">
        <f>SUM(B177:D177)/3</f>
        <v>45.164281844345851</v>
      </c>
      <c r="C134" s="137">
        <f>SUM(R177:T177)/3</f>
        <v>72.58821572094196</v>
      </c>
      <c r="D134" s="156">
        <f>C134-B134</f>
        <v>27.423933876596109</v>
      </c>
      <c r="E134" s="118">
        <f>D134/B134</f>
        <v>0.60720402842028876</v>
      </c>
      <c r="F134" s="118">
        <f>((C134/B134)^(1/16))-1</f>
        <v>3.0100121196344087E-2</v>
      </c>
      <c r="G134" s="44"/>
      <c r="H134" s="44"/>
      <c r="I134" s="44"/>
      <c r="J134" s="44"/>
      <c r="K134" s="44"/>
      <c r="L134" s="44"/>
      <c r="M134" s="116"/>
      <c r="N134" s="44"/>
      <c r="O134" s="114"/>
      <c r="P134" s="44"/>
      <c r="Q134" s="44"/>
      <c r="R134" s="114"/>
      <c r="S134" s="168"/>
      <c r="T134" s="44"/>
      <c r="U134" s="44"/>
      <c r="V134" s="44"/>
      <c r="W134" s="44"/>
      <c r="X134" s="44"/>
      <c r="Y134" s="44"/>
      <c r="Z134" s="169"/>
      <c r="AA134" s="44"/>
      <c r="AB134" s="44"/>
      <c r="AC134" s="44"/>
      <c r="AD134" s="44"/>
      <c r="AE134" s="44"/>
      <c r="AF134" s="44"/>
      <c r="AG134" s="44"/>
      <c r="AH134" s="44"/>
      <c r="AI134" s="44"/>
      <c r="AJ134" s="44"/>
      <c r="AK134" s="44"/>
      <c r="AL134" s="44"/>
      <c r="AM134" s="44"/>
      <c r="AN134" s="44"/>
      <c r="AO134" s="44"/>
      <c r="AP134" s="44"/>
      <c r="AQ134" s="44"/>
    </row>
    <row r="135" spans="1:43" x14ac:dyDescent="0.3">
      <c r="A135" s="136" t="s">
        <v>72</v>
      </c>
      <c r="B135" s="137">
        <f>SUM(B181:D181)/3</f>
        <v>61.528367347582957</v>
      </c>
      <c r="C135" s="137">
        <f>SUM(R181:T181)/3</f>
        <v>146.5840591528752</v>
      </c>
      <c r="D135" s="156">
        <f>C135-B135</f>
        <v>85.055691805292241</v>
      </c>
      <c r="E135" s="118">
        <f>D135/B135</f>
        <v>1.3823817447454749</v>
      </c>
      <c r="F135" s="118">
        <f>((C135/B135)^(1/16))-1</f>
        <v>5.5755152274452824E-2</v>
      </c>
      <c r="M135" s="9"/>
      <c r="O135" s="11"/>
      <c r="R135" s="11"/>
      <c r="S135" s="10"/>
      <c r="Z135" s="22"/>
    </row>
    <row r="136" spans="1:43" x14ac:dyDescent="0.3">
      <c r="A136" s="136" t="s">
        <v>73</v>
      </c>
      <c r="B136" s="137">
        <f>SUM(B182:D182)/3</f>
        <v>35.932206413159356</v>
      </c>
      <c r="C136" s="137">
        <f>SUM(R182:T182)/3</f>
        <v>75.277222945154222</v>
      </c>
      <c r="D136" s="156">
        <f>C136-B136</f>
        <v>39.345016531994865</v>
      </c>
      <c r="E136" s="118">
        <f>D136/B136</f>
        <v>1.0949791415421026</v>
      </c>
      <c r="F136" s="118">
        <f>((C136/B136)^(1/16))-1</f>
        <v>4.7306337249057862E-2</v>
      </c>
      <c r="M136" s="9"/>
      <c r="O136" s="11"/>
      <c r="R136" s="11"/>
      <c r="S136" s="10"/>
      <c r="Z136" s="22"/>
    </row>
    <row r="137" spans="1:43" x14ac:dyDescent="0.3">
      <c r="B137" s="19"/>
      <c r="D137" s="6"/>
    </row>
    <row r="138" spans="1:43" ht="18" x14ac:dyDescent="0.35">
      <c r="A138" s="204" t="s">
        <v>469</v>
      </c>
      <c r="B138" s="19"/>
      <c r="D138" s="6"/>
    </row>
    <row r="139" spans="1:43" x14ac:dyDescent="0.3">
      <c r="A139" s="6"/>
      <c r="B139" s="19"/>
      <c r="D139" s="6"/>
    </row>
    <row r="140" spans="1:43" x14ac:dyDescent="0.3">
      <c r="A140" s="6"/>
      <c r="B140" s="19"/>
      <c r="D140" s="6"/>
    </row>
    <row r="141" spans="1:43" x14ac:dyDescent="0.3">
      <c r="A141" s="6"/>
      <c r="B141" s="19"/>
      <c r="D141" s="6"/>
    </row>
    <row r="142" spans="1:43" x14ac:dyDescent="0.3">
      <c r="A142" s="6"/>
      <c r="B142" s="19"/>
      <c r="D142" s="6"/>
    </row>
    <row r="143" spans="1:43" x14ac:dyDescent="0.3">
      <c r="A143" s="6"/>
      <c r="B143" s="19"/>
      <c r="D143" s="6"/>
    </row>
    <row r="144" spans="1:43" x14ac:dyDescent="0.3">
      <c r="A144" s="6"/>
      <c r="B144" s="19"/>
      <c r="D144" s="6"/>
    </row>
    <row r="145" spans="1:20" x14ac:dyDescent="0.3">
      <c r="A145" s="6"/>
      <c r="B145" s="19"/>
      <c r="D145" s="6"/>
    </row>
    <row r="146" spans="1:20" x14ac:dyDescent="0.3">
      <c r="A146" s="6"/>
      <c r="B146" s="19"/>
      <c r="D146" s="6"/>
    </row>
    <row r="147" spans="1:20" x14ac:dyDescent="0.3">
      <c r="A147" s="6"/>
      <c r="B147" s="19"/>
      <c r="D147" s="6"/>
    </row>
    <row r="148" spans="1:20" x14ac:dyDescent="0.3">
      <c r="A148" s="6"/>
      <c r="B148" s="19"/>
      <c r="D148" s="6"/>
    </row>
    <row r="149" spans="1:20" x14ac:dyDescent="0.3">
      <c r="A149" s="6"/>
      <c r="B149" s="19"/>
      <c r="D149" s="6"/>
    </row>
    <row r="150" spans="1:20" x14ac:dyDescent="0.3">
      <c r="A150" s="6"/>
      <c r="B150" s="19"/>
      <c r="D150" s="6"/>
    </row>
    <row r="151" spans="1:20" x14ac:dyDescent="0.3">
      <c r="A151" s="6"/>
      <c r="B151" s="19"/>
      <c r="D151" s="6"/>
    </row>
    <row r="152" spans="1:20" x14ac:dyDescent="0.3">
      <c r="A152" s="6"/>
      <c r="B152" s="19"/>
      <c r="D152" s="6"/>
    </row>
    <row r="153" spans="1:20" s="110" customFormat="1" x14ac:dyDescent="0.3">
      <c r="A153" s="184" t="s">
        <v>48</v>
      </c>
      <c r="B153" s="206">
        <v>1999</v>
      </c>
      <c r="C153" s="105">
        <v>2000</v>
      </c>
      <c r="D153" s="105">
        <v>2001</v>
      </c>
      <c r="E153" s="105">
        <v>2002</v>
      </c>
      <c r="F153" s="105">
        <v>2003</v>
      </c>
      <c r="G153" s="105">
        <v>2004</v>
      </c>
      <c r="H153" s="105">
        <v>2005</v>
      </c>
      <c r="I153" s="105">
        <v>2006</v>
      </c>
      <c r="J153" s="105">
        <v>2007</v>
      </c>
      <c r="K153" s="105">
        <v>2008</v>
      </c>
      <c r="L153" s="105">
        <v>2009</v>
      </c>
      <c r="M153" s="105">
        <v>2010</v>
      </c>
      <c r="N153" s="105">
        <v>2011</v>
      </c>
      <c r="O153" s="105">
        <v>2012</v>
      </c>
      <c r="P153" s="105">
        <v>2013</v>
      </c>
      <c r="Q153" s="105">
        <v>2014</v>
      </c>
      <c r="R153" s="105">
        <v>2015</v>
      </c>
      <c r="S153" s="105">
        <v>2016</v>
      </c>
      <c r="T153" s="105">
        <v>2017</v>
      </c>
    </row>
    <row r="154" spans="1:20" s="48" customFormat="1" x14ac:dyDescent="0.3">
      <c r="A154" s="208" t="s">
        <v>325</v>
      </c>
      <c r="B154" s="349">
        <f>B176</f>
        <v>39.730769230769226</v>
      </c>
      <c r="C154" s="349">
        <f>C176</f>
        <v>42.542244640605297</v>
      </c>
      <c r="D154" s="349">
        <f t="shared" ref="D154:S154" si="10">D176</f>
        <v>46.53566958698373</v>
      </c>
      <c r="E154" s="349">
        <f t="shared" si="10"/>
        <v>48.508217446270542</v>
      </c>
      <c r="F154" s="349">
        <f t="shared" si="10"/>
        <v>53.450495049504958</v>
      </c>
      <c r="G154" s="349">
        <f t="shared" si="10"/>
        <v>58.21366459627329</v>
      </c>
      <c r="H154" s="349">
        <f t="shared" si="10"/>
        <v>66.604848484848489</v>
      </c>
      <c r="I154" s="349">
        <f t="shared" si="10"/>
        <v>71.578758949880665</v>
      </c>
      <c r="J154" s="349">
        <f t="shared" si="10"/>
        <v>79.65625</v>
      </c>
      <c r="K154" s="349">
        <f t="shared" si="10"/>
        <v>76.701754385964904</v>
      </c>
      <c r="L154" s="349">
        <f t="shared" si="10"/>
        <v>74.445617740232308</v>
      </c>
      <c r="M154" s="349">
        <f t="shared" si="10"/>
        <v>74.197592778334993</v>
      </c>
      <c r="N154" s="349">
        <f t="shared" si="10"/>
        <v>76.608943862987644</v>
      </c>
      <c r="O154" s="349">
        <f t="shared" si="10"/>
        <v>78.742640075973412</v>
      </c>
      <c r="P154" s="349">
        <f t="shared" si="10"/>
        <v>74.744228993536467</v>
      </c>
      <c r="Q154" s="349">
        <f t="shared" si="10"/>
        <v>86.052231718898383</v>
      </c>
      <c r="R154" s="349">
        <f t="shared" si="10"/>
        <v>91.447999999999993</v>
      </c>
      <c r="S154" s="349">
        <f t="shared" si="10"/>
        <v>93.263358778625943</v>
      </c>
      <c r="T154" s="186">
        <v>108.23099999999999</v>
      </c>
    </row>
    <row r="155" spans="1:20" s="48" customFormat="1" x14ac:dyDescent="0.3">
      <c r="A155" s="209" t="s">
        <v>326</v>
      </c>
      <c r="B155" s="351">
        <f>B181</f>
        <v>58.326923076923073</v>
      </c>
      <c r="C155" s="351">
        <f>C181</f>
        <v>61.38083228247163</v>
      </c>
      <c r="D155" s="351">
        <f t="shared" ref="D155:S155" si="11">D181</f>
        <v>64.87734668335419</v>
      </c>
      <c r="E155" s="351">
        <f t="shared" si="11"/>
        <v>69.940581542351467</v>
      </c>
      <c r="F155" s="351">
        <f t="shared" si="11"/>
        <v>76.819306930693074</v>
      </c>
      <c r="G155" s="351">
        <f t="shared" si="11"/>
        <v>85.486956521739117</v>
      </c>
      <c r="H155" s="351">
        <f t="shared" si="11"/>
        <v>91.305454545454552</v>
      </c>
      <c r="I155" s="351">
        <f t="shared" si="11"/>
        <v>103.78281622911695</v>
      </c>
      <c r="J155" s="351">
        <f t="shared" si="11"/>
        <v>113.62620192307692</v>
      </c>
      <c r="K155" s="351">
        <f t="shared" si="11"/>
        <v>109.875</v>
      </c>
      <c r="L155" s="351">
        <f t="shared" si="11"/>
        <v>109.98416050686377</v>
      </c>
      <c r="M155" s="351">
        <f t="shared" si="11"/>
        <v>106.39418254764293</v>
      </c>
      <c r="N155" s="351">
        <f t="shared" si="11"/>
        <v>110.6907706945766</v>
      </c>
      <c r="O155" s="351">
        <f t="shared" si="11"/>
        <v>116.27540360873695</v>
      </c>
      <c r="P155" s="351">
        <f t="shared" si="11"/>
        <v>131.29085872576178</v>
      </c>
      <c r="Q155" s="351">
        <f t="shared" si="11"/>
        <v>129.68945868945869</v>
      </c>
      <c r="R155" s="351">
        <f t="shared" si="11"/>
        <v>141.41</v>
      </c>
      <c r="S155" s="351">
        <f t="shared" si="11"/>
        <v>152.81297709923663</v>
      </c>
      <c r="T155" s="188">
        <v>171.35</v>
      </c>
    </row>
    <row r="156" spans="1:20" ht="13.2" customHeight="1" x14ac:dyDescent="0.3">
      <c r="A156" s="6" t="s">
        <v>197</v>
      </c>
      <c r="B156" s="55">
        <f>B154+B155</f>
        <v>98.057692307692292</v>
      </c>
      <c r="C156" s="55">
        <f>C154+C155</f>
        <v>103.92307692307693</v>
      </c>
      <c r="D156" s="55">
        <f t="shared" ref="D156:T156" si="12">D154+D155</f>
        <v>111.41301627033792</v>
      </c>
      <c r="E156" s="55">
        <f t="shared" si="12"/>
        <v>118.448798988622</v>
      </c>
      <c r="F156" s="55">
        <f t="shared" si="12"/>
        <v>130.26980198019803</v>
      </c>
      <c r="G156" s="55">
        <f t="shared" si="12"/>
        <v>143.70062111801241</v>
      </c>
      <c r="H156" s="55">
        <f t="shared" si="12"/>
        <v>157.91030303030306</v>
      </c>
      <c r="I156" s="55">
        <f t="shared" si="12"/>
        <v>175.36157517899761</v>
      </c>
      <c r="J156" s="55">
        <f t="shared" si="12"/>
        <v>193.28245192307691</v>
      </c>
      <c r="K156" s="55">
        <f t="shared" si="12"/>
        <v>186.5767543859649</v>
      </c>
      <c r="L156" s="55">
        <f t="shared" si="12"/>
        <v>184.42977824709607</v>
      </c>
      <c r="M156" s="55">
        <f t="shared" si="12"/>
        <v>180.59177532597792</v>
      </c>
      <c r="N156" s="55">
        <f t="shared" si="12"/>
        <v>187.29971455756424</v>
      </c>
      <c r="O156" s="55">
        <f t="shared" si="12"/>
        <v>195.01804368471036</v>
      </c>
      <c r="P156" s="55">
        <f t="shared" si="12"/>
        <v>206.03508771929825</v>
      </c>
      <c r="Q156" s="55">
        <f t="shared" si="12"/>
        <v>215.74169040835707</v>
      </c>
      <c r="R156" s="55">
        <f t="shared" si="12"/>
        <v>232.858</v>
      </c>
      <c r="S156" s="55">
        <f t="shared" si="12"/>
        <v>246.07633587786256</v>
      </c>
      <c r="T156" s="55">
        <f t="shared" si="12"/>
        <v>279.58100000000002</v>
      </c>
    </row>
    <row r="157" spans="1:20" ht="13.2" customHeight="1" x14ac:dyDescent="0.3">
      <c r="A157" s="6"/>
      <c r="B157" s="19"/>
      <c r="D157" s="6"/>
    </row>
    <row r="158" spans="1:20" ht="13.2" customHeight="1" x14ac:dyDescent="0.3">
      <c r="A158" s="6"/>
      <c r="B158" s="19"/>
      <c r="D158" s="6"/>
    </row>
    <row r="159" spans="1:20" ht="13.2" customHeight="1" x14ac:dyDescent="0.3">
      <c r="A159" s="6"/>
      <c r="B159" s="19"/>
      <c r="D159" s="6"/>
    </row>
    <row r="160" spans="1:20" ht="13.2" customHeight="1" x14ac:dyDescent="0.3">
      <c r="A160" s="6"/>
      <c r="B160" s="19"/>
      <c r="D160" s="6"/>
    </row>
    <row r="161" spans="1:20" x14ac:dyDescent="0.3">
      <c r="A161" s="6"/>
      <c r="B161" s="19"/>
      <c r="D161" s="6"/>
    </row>
    <row r="162" spans="1:20" x14ac:dyDescent="0.3">
      <c r="A162" s="6"/>
      <c r="B162" s="19"/>
      <c r="D162" s="6"/>
    </row>
    <row r="163" spans="1:20" x14ac:dyDescent="0.3">
      <c r="A163" s="6"/>
      <c r="B163" s="19"/>
      <c r="D163" s="6"/>
    </row>
    <row r="164" spans="1:20" x14ac:dyDescent="0.3">
      <c r="A164" s="6"/>
      <c r="B164" s="19"/>
      <c r="D164" s="6"/>
    </row>
    <row r="165" spans="1:20" x14ac:dyDescent="0.3">
      <c r="A165" s="6"/>
      <c r="B165" s="19"/>
      <c r="D165" s="6"/>
    </row>
    <row r="166" spans="1:20" x14ac:dyDescent="0.3">
      <c r="A166" s="6"/>
      <c r="B166" s="19"/>
      <c r="D166" s="6"/>
    </row>
    <row r="167" spans="1:20" x14ac:dyDescent="0.3">
      <c r="A167" s="6"/>
      <c r="B167" s="19"/>
      <c r="D167" s="6"/>
    </row>
    <row r="168" spans="1:20" x14ac:dyDescent="0.3">
      <c r="A168" s="6"/>
      <c r="B168" s="19"/>
      <c r="D168" s="6"/>
    </row>
    <row r="169" spans="1:20" x14ac:dyDescent="0.3">
      <c r="A169" s="6"/>
      <c r="B169" s="19"/>
      <c r="D169" s="6"/>
    </row>
    <row r="170" spans="1:20" x14ac:dyDescent="0.3">
      <c r="A170" s="6"/>
      <c r="B170" s="19"/>
      <c r="D170" s="6"/>
    </row>
    <row r="171" spans="1:20" x14ac:dyDescent="0.3">
      <c r="A171" s="6"/>
      <c r="B171" s="19"/>
      <c r="D171" s="6"/>
    </row>
    <row r="172" spans="1:20" x14ac:dyDescent="0.3">
      <c r="B172" s="19"/>
      <c r="D172" s="6"/>
    </row>
    <row r="173" spans="1:20" s="6" customFormat="1" ht="18" x14ac:dyDescent="0.35">
      <c r="A173" s="204" t="s">
        <v>466</v>
      </c>
    </row>
    <row r="174" spans="1:20" s="6" customFormat="1" x14ac:dyDescent="0.3">
      <c r="A174" s="6" t="s">
        <v>499</v>
      </c>
    </row>
    <row r="175" spans="1:20" s="110" customFormat="1" x14ac:dyDescent="0.3">
      <c r="A175" s="184" t="s">
        <v>48</v>
      </c>
      <c r="B175" s="206">
        <v>1999</v>
      </c>
      <c r="C175" s="105">
        <v>2000</v>
      </c>
      <c r="D175" s="105">
        <v>2001</v>
      </c>
      <c r="E175" s="105">
        <v>2002</v>
      </c>
      <c r="F175" s="105">
        <v>2003</v>
      </c>
      <c r="G175" s="105">
        <v>2004</v>
      </c>
      <c r="H175" s="105">
        <v>2005</v>
      </c>
      <c r="I175" s="105">
        <v>2006</v>
      </c>
      <c r="J175" s="105">
        <v>2007</v>
      </c>
      <c r="K175" s="105">
        <v>2008</v>
      </c>
      <c r="L175" s="105">
        <v>2009</v>
      </c>
      <c r="M175" s="105">
        <v>2010</v>
      </c>
      <c r="N175" s="105">
        <v>2011</v>
      </c>
      <c r="O175" s="105">
        <v>2012</v>
      </c>
      <c r="P175" s="105">
        <v>2013</v>
      </c>
      <c r="Q175" s="105">
        <v>2014</v>
      </c>
      <c r="R175" s="105">
        <v>2015</v>
      </c>
      <c r="S175" s="105">
        <v>2016</v>
      </c>
      <c r="T175" s="105">
        <v>2017</v>
      </c>
    </row>
    <row r="176" spans="1:20" s="48" customFormat="1" x14ac:dyDescent="0.3">
      <c r="A176" s="208" t="s">
        <v>325</v>
      </c>
      <c r="B176" s="349">
        <f t="shared" ref="B176:T176" si="13">B188/B206</f>
        <v>39.730769230769226</v>
      </c>
      <c r="C176" s="349">
        <f t="shared" si="13"/>
        <v>42.542244640605297</v>
      </c>
      <c r="D176" s="349">
        <f t="shared" si="13"/>
        <v>46.53566958698373</v>
      </c>
      <c r="E176" s="349">
        <f t="shared" si="13"/>
        <v>48.508217446270542</v>
      </c>
      <c r="F176" s="349">
        <f t="shared" si="13"/>
        <v>53.450495049504958</v>
      </c>
      <c r="G176" s="349">
        <f t="shared" si="13"/>
        <v>58.21366459627329</v>
      </c>
      <c r="H176" s="349">
        <f t="shared" si="13"/>
        <v>66.604848484848489</v>
      </c>
      <c r="I176" s="349">
        <f t="shared" si="13"/>
        <v>71.578758949880665</v>
      </c>
      <c r="J176" s="349">
        <f t="shared" si="13"/>
        <v>79.65625</v>
      </c>
      <c r="K176" s="349">
        <f t="shared" si="13"/>
        <v>76.701754385964904</v>
      </c>
      <c r="L176" s="349">
        <f t="shared" si="13"/>
        <v>74.445617740232308</v>
      </c>
      <c r="M176" s="349">
        <f t="shared" si="13"/>
        <v>74.197592778334993</v>
      </c>
      <c r="N176" s="349">
        <f t="shared" si="13"/>
        <v>76.608943862987644</v>
      </c>
      <c r="O176" s="349">
        <f t="shared" si="13"/>
        <v>78.742640075973412</v>
      </c>
      <c r="P176" s="349">
        <f t="shared" si="13"/>
        <v>74.744228993536467</v>
      </c>
      <c r="Q176" s="349">
        <f t="shared" si="13"/>
        <v>86.052231718898383</v>
      </c>
      <c r="R176" s="349">
        <f t="shared" si="13"/>
        <v>91.447999999999993</v>
      </c>
      <c r="S176" s="349">
        <f t="shared" si="13"/>
        <v>93.263358778625943</v>
      </c>
      <c r="T176" s="349">
        <f t="shared" si="13"/>
        <v>105.16621743036838</v>
      </c>
    </row>
    <row r="177" spans="1:25" x14ac:dyDescent="0.3">
      <c r="A177" s="51" t="s">
        <v>467</v>
      </c>
      <c r="B177" s="134">
        <f t="shared" ref="B177:T177" si="14">B189/B204</f>
        <v>42.325665859564168</v>
      </c>
      <c r="C177" s="134">
        <f t="shared" si="14"/>
        <v>44.866587957497053</v>
      </c>
      <c r="D177" s="134">
        <f t="shared" si="14"/>
        <v>48.300591715976331</v>
      </c>
      <c r="E177" s="134">
        <f t="shared" si="14"/>
        <v>53.050970873786405</v>
      </c>
      <c r="F177" s="134">
        <f t="shared" si="14"/>
        <v>57.666265060240967</v>
      </c>
      <c r="G177" s="134">
        <f t="shared" si="14"/>
        <v>60.186813186813183</v>
      </c>
      <c r="H177" s="134">
        <f t="shared" si="14"/>
        <v>62.727594339622641</v>
      </c>
      <c r="I177" s="134">
        <f t="shared" si="14"/>
        <v>65.053117782909936</v>
      </c>
      <c r="J177" s="134">
        <f t="shared" si="14"/>
        <v>65.769942196531787</v>
      </c>
      <c r="K177" s="134">
        <f t="shared" si="14"/>
        <v>62.408393039918117</v>
      </c>
      <c r="L177" s="134">
        <f t="shared" si="14"/>
        <v>59.197211155378483</v>
      </c>
      <c r="M177" s="134">
        <f t="shared" si="14"/>
        <v>56.430769230769229</v>
      </c>
      <c r="N177" s="134">
        <f t="shared" si="14"/>
        <v>53.780180180180174</v>
      </c>
      <c r="O177" s="134">
        <f t="shared" si="14"/>
        <v>56.875567665758403</v>
      </c>
      <c r="P177" s="134">
        <f t="shared" si="14"/>
        <v>58.969396939693972</v>
      </c>
      <c r="Q177" s="134">
        <f t="shared" si="14"/>
        <v>62.619002822201317</v>
      </c>
      <c r="R177" s="134">
        <f t="shared" si="14"/>
        <v>68.647000000000006</v>
      </c>
      <c r="S177" s="134">
        <f t="shared" si="14"/>
        <v>75.428433268858797</v>
      </c>
      <c r="T177" s="134">
        <f t="shared" si="14"/>
        <v>73.689213893967093</v>
      </c>
    </row>
    <row r="178" spans="1:25" s="93" customFormat="1" x14ac:dyDescent="0.3">
      <c r="A178" s="37" t="s">
        <v>34</v>
      </c>
      <c r="B178" s="346">
        <f>B176-B177</f>
        <v>-2.5948966287949418</v>
      </c>
      <c r="C178" s="346">
        <f t="shared" ref="C178:T178" si="15">C176-C177</f>
        <v>-2.3243433168917562</v>
      </c>
      <c r="D178" s="346">
        <f t="shared" si="15"/>
        <v>-1.7649221289926018</v>
      </c>
      <c r="E178" s="346">
        <f t="shared" si="15"/>
        <v>-4.5427534275158621</v>
      </c>
      <c r="F178" s="346">
        <f t="shared" si="15"/>
        <v>-4.2157700107360085</v>
      </c>
      <c r="G178" s="346">
        <f t="shared" si="15"/>
        <v>-1.9731485905398927</v>
      </c>
      <c r="H178" s="346">
        <f t="shared" si="15"/>
        <v>3.877254145225848</v>
      </c>
      <c r="I178" s="346">
        <f t="shared" si="15"/>
        <v>6.525641166970729</v>
      </c>
      <c r="J178" s="346">
        <f t="shared" si="15"/>
        <v>13.886307803468213</v>
      </c>
      <c r="K178" s="346">
        <f t="shared" si="15"/>
        <v>14.293361346046787</v>
      </c>
      <c r="L178" s="346">
        <f t="shared" si="15"/>
        <v>15.248406584853825</v>
      </c>
      <c r="M178" s="346">
        <f t="shared" si="15"/>
        <v>17.766823547565764</v>
      </c>
      <c r="N178" s="346">
        <f t="shared" si="15"/>
        <v>22.82876368280747</v>
      </c>
      <c r="O178" s="346">
        <f t="shared" si="15"/>
        <v>21.867072410215009</v>
      </c>
      <c r="P178" s="346">
        <f t="shared" si="15"/>
        <v>15.774832053842495</v>
      </c>
      <c r="Q178" s="346">
        <f t="shared" si="15"/>
        <v>23.433228896697067</v>
      </c>
      <c r="R178" s="346">
        <f t="shared" si="15"/>
        <v>22.800999999999988</v>
      </c>
      <c r="S178" s="346">
        <f t="shared" si="15"/>
        <v>17.834925509767146</v>
      </c>
      <c r="T178" s="346">
        <f t="shared" si="15"/>
        <v>31.477003536401284</v>
      </c>
    </row>
    <row r="179" spans="1:25" x14ac:dyDescent="0.3">
      <c r="A179" s="4"/>
      <c r="B179" s="21"/>
      <c r="C179" s="21"/>
      <c r="D179" s="21"/>
      <c r="E179" s="21"/>
      <c r="F179" s="21"/>
      <c r="G179" s="21"/>
      <c r="H179" s="21"/>
      <c r="I179" s="21"/>
      <c r="J179" s="21"/>
      <c r="K179" s="21"/>
      <c r="L179" s="21"/>
      <c r="M179" s="21"/>
      <c r="N179" s="21"/>
      <c r="O179" s="21"/>
      <c r="P179" s="21"/>
      <c r="Q179" s="21"/>
      <c r="R179" s="21"/>
      <c r="S179" s="21"/>
      <c r="T179" s="21"/>
    </row>
    <row r="180" spans="1:25" s="110" customFormat="1" x14ac:dyDescent="0.3">
      <c r="A180" s="184" t="s">
        <v>48</v>
      </c>
      <c r="B180" s="206">
        <v>1999</v>
      </c>
      <c r="C180" s="105">
        <v>2000</v>
      </c>
      <c r="D180" s="105">
        <v>2001</v>
      </c>
      <c r="E180" s="105">
        <v>2002</v>
      </c>
      <c r="F180" s="105">
        <v>2003</v>
      </c>
      <c r="G180" s="105">
        <v>2004</v>
      </c>
      <c r="H180" s="105">
        <v>2005</v>
      </c>
      <c r="I180" s="105">
        <v>2006</v>
      </c>
      <c r="J180" s="105">
        <v>2007</v>
      </c>
      <c r="K180" s="105">
        <v>2008</v>
      </c>
      <c r="L180" s="105">
        <v>2009</v>
      </c>
      <c r="M180" s="105">
        <v>2010</v>
      </c>
      <c r="N180" s="105">
        <v>2011</v>
      </c>
      <c r="O180" s="105">
        <v>2012</v>
      </c>
      <c r="P180" s="105">
        <v>2013</v>
      </c>
      <c r="Q180" s="105">
        <v>2014</v>
      </c>
      <c r="R180" s="105">
        <v>2015</v>
      </c>
      <c r="S180" s="105">
        <v>2016</v>
      </c>
      <c r="T180" s="105">
        <v>2017</v>
      </c>
      <c r="W180" s="105"/>
    </row>
    <row r="181" spans="1:25" s="48" customFormat="1" x14ac:dyDescent="0.3">
      <c r="A181" s="209" t="s">
        <v>326</v>
      </c>
      <c r="B181" s="351">
        <f t="shared" ref="B181:T181" si="16">B193/B206</f>
        <v>58.326923076923073</v>
      </c>
      <c r="C181" s="351">
        <f t="shared" si="16"/>
        <v>61.38083228247163</v>
      </c>
      <c r="D181" s="351">
        <f t="shared" si="16"/>
        <v>64.87734668335419</v>
      </c>
      <c r="E181" s="351">
        <f t="shared" si="16"/>
        <v>69.940581542351467</v>
      </c>
      <c r="F181" s="351">
        <f t="shared" si="16"/>
        <v>76.819306930693074</v>
      </c>
      <c r="G181" s="351">
        <f t="shared" si="16"/>
        <v>85.486956521739117</v>
      </c>
      <c r="H181" s="351">
        <f t="shared" si="16"/>
        <v>91.305454545454552</v>
      </c>
      <c r="I181" s="351">
        <f t="shared" si="16"/>
        <v>103.78281622911695</v>
      </c>
      <c r="J181" s="351">
        <f t="shared" si="16"/>
        <v>113.62620192307692</v>
      </c>
      <c r="K181" s="351">
        <f t="shared" si="16"/>
        <v>109.875</v>
      </c>
      <c r="L181" s="351">
        <f t="shared" si="16"/>
        <v>109.98416050686377</v>
      </c>
      <c r="M181" s="351">
        <f t="shared" si="16"/>
        <v>106.39418254764293</v>
      </c>
      <c r="N181" s="351">
        <f t="shared" si="16"/>
        <v>110.6907706945766</v>
      </c>
      <c r="O181" s="351">
        <f t="shared" si="16"/>
        <v>116.27540360873695</v>
      </c>
      <c r="P181" s="351">
        <f t="shared" si="16"/>
        <v>131.29085872576178</v>
      </c>
      <c r="Q181" s="351">
        <f t="shared" si="16"/>
        <v>129.68945868945869</v>
      </c>
      <c r="R181" s="351">
        <f t="shared" si="16"/>
        <v>141.41</v>
      </c>
      <c r="S181" s="351">
        <f t="shared" si="16"/>
        <v>152.81297709923663</v>
      </c>
      <c r="T181" s="351">
        <f t="shared" si="16"/>
        <v>145.52920035938902</v>
      </c>
      <c r="W181" s="186"/>
    </row>
    <row r="182" spans="1:25" x14ac:dyDescent="0.3">
      <c r="A182" s="4" t="s">
        <v>468</v>
      </c>
      <c r="B182" s="352">
        <f t="shared" ref="B182:T182" si="17">B194/B204</f>
        <v>33.832929782082331</v>
      </c>
      <c r="C182" s="352">
        <f t="shared" si="17"/>
        <v>36.341204250295156</v>
      </c>
      <c r="D182" s="352">
        <f t="shared" si="17"/>
        <v>37.622485207100596</v>
      </c>
      <c r="E182" s="352">
        <f t="shared" si="17"/>
        <v>40.877427184466015</v>
      </c>
      <c r="F182" s="352">
        <f t="shared" si="17"/>
        <v>43.88674698795181</v>
      </c>
      <c r="G182" s="352">
        <f t="shared" si="17"/>
        <v>47.587301587301582</v>
      </c>
      <c r="H182" s="352">
        <f t="shared" si="17"/>
        <v>50.215801886792455</v>
      </c>
      <c r="I182" s="352">
        <f t="shared" si="17"/>
        <v>54.363741339491916</v>
      </c>
      <c r="J182" s="352">
        <f t="shared" si="17"/>
        <v>58.215028901734108</v>
      </c>
      <c r="K182" s="352">
        <f t="shared" si="17"/>
        <v>57.852610030706245</v>
      </c>
      <c r="L182" s="352">
        <f t="shared" si="17"/>
        <v>58.008964143426297</v>
      </c>
      <c r="M182" s="352">
        <f t="shared" si="17"/>
        <v>58.511538461538457</v>
      </c>
      <c r="N182" s="352">
        <f t="shared" si="17"/>
        <v>55.194594594594591</v>
      </c>
      <c r="O182" s="352">
        <f t="shared" si="17"/>
        <v>55.958219800181652</v>
      </c>
      <c r="P182" s="352">
        <f t="shared" si="17"/>
        <v>60.906390639063908</v>
      </c>
      <c r="Q182" s="352">
        <f t="shared" si="17"/>
        <v>64.173095014110999</v>
      </c>
      <c r="R182" s="352">
        <f t="shared" si="17"/>
        <v>73.385000000000005</v>
      </c>
      <c r="S182" s="352">
        <f t="shared" si="17"/>
        <v>75.560928433268856</v>
      </c>
      <c r="T182" s="352">
        <f t="shared" si="17"/>
        <v>76.885740402193775</v>
      </c>
      <c r="W182" s="188"/>
    </row>
    <row r="183" spans="1:25" s="93" customFormat="1" x14ac:dyDescent="0.3">
      <c r="A183" s="37" t="s">
        <v>34</v>
      </c>
      <c r="B183" s="346">
        <f>B181-B182</f>
        <v>24.493993294840742</v>
      </c>
      <c r="C183" s="346">
        <f t="shared" ref="C183:T183" si="18">C181-C182</f>
        <v>25.039628032176473</v>
      </c>
      <c r="D183" s="346">
        <f t="shared" si="18"/>
        <v>27.254861476253595</v>
      </c>
      <c r="E183" s="346">
        <f t="shared" si="18"/>
        <v>29.063154357885452</v>
      </c>
      <c r="F183" s="346">
        <f t="shared" si="18"/>
        <v>32.932559942741264</v>
      </c>
      <c r="G183" s="346">
        <f t="shared" si="18"/>
        <v>37.899654934437535</v>
      </c>
      <c r="H183" s="346">
        <f t="shared" si="18"/>
        <v>41.089652658662096</v>
      </c>
      <c r="I183" s="346">
        <f t="shared" si="18"/>
        <v>49.41907488962503</v>
      </c>
      <c r="J183" s="346">
        <f t="shared" si="18"/>
        <v>55.411173021342812</v>
      </c>
      <c r="K183" s="346">
        <f t="shared" si="18"/>
        <v>52.022389969293755</v>
      </c>
      <c r="L183" s="346">
        <f t="shared" si="18"/>
        <v>51.975196363437476</v>
      </c>
      <c r="M183" s="346">
        <f t="shared" si="18"/>
        <v>47.88264408610447</v>
      </c>
      <c r="N183" s="346">
        <f t="shared" si="18"/>
        <v>55.496176099982009</v>
      </c>
      <c r="O183" s="346">
        <f t="shared" si="18"/>
        <v>60.317183808555299</v>
      </c>
      <c r="P183" s="346">
        <f t="shared" si="18"/>
        <v>70.384468086697865</v>
      </c>
      <c r="Q183" s="346">
        <f t="shared" si="18"/>
        <v>65.516363675347691</v>
      </c>
      <c r="R183" s="346">
        <f t="shared" si="18"/>
        <v>68.024999999999991</v>
      </c>
      <c r="S183" s="346">
        <f t="shared" si="18"/>
        <v>77.252048665967777</v>
      </c>
      <c r="T183" s="346">
        <f t="shared" si="18"/>
        <v>68.643459957195248</v>
      </c>
      <c r="W183" s="55"/>
    </row>
    <row r="184" spans="1:25" s="44" customFormat="1" x14ac:dyDescent="0.3">
      <c r="A184" s="4"/>
      <c r="B184" s="100"/>
      <c r="C184" s="100"/>
      <c r="D184" s="100"/>
      <c r="E184" s="100"/>
      <c r="F184" s="100"/>
      <c r="G184" s="100"/>
      <c r="H184" s="100"/>
      <c r="I184" s="100"/>
      <c r="J184" s="100"/>
      <c r="K184" s="100"/>
      <c r="L184" s="100"/>
      <c r="M184" s="100"/>
      <c r="N184" s="100"/>
      <c r="O184" s="100"/>
      <c r="P184" s="100"/>
      <c r="Q184" s="100"/>
      <c r="R184" s="100"/>
      <c r="S184" s="100"/>
      <c r="T184" s="100"/>
    </row>
    <row r="185" spans="1:25" s="44" customFormat="1" x14ac:dyDescent="0.3">
      <c r="A185" s="4"/>
      <c r="B185" s="100"/>
      <c r="C185" s="100"/>
      <c r="D185" s="100"/>
      <c r="E185" s="100"/>
      <c r="F185" s="100"/>
      <c r="G185" s="100"/>
      <c r="H185" s="100"/>
      <c r="I185" s="100"/>
      <c r="J185" s="100"/>
      <c r="K185" s="100"/>
      <c r="L185" s="100"/>
      <c r="M185" s="100"/>
      <c r="N185" s="100"/>
      <c r="O185" s="100"/>
      <c r="P185" s="100"/>
      <c r="Q185" s="100"/>
      <c r="R185" s="100"/>
      <c r="S185" s="100"/>
      <c r="T185" s="100"/>
    </row>
    <row r="186" spans="1:25" s="44" customFormat="1" x14ac:dyDescent="0.3">
      <c r="A186" s="657" t="s">
        <v>780</v>
      </c>
      <c r="B186" s="100"/>
      <c r="C186" s="100"/>
      <c r="D186" s="100"/>
      <c r="E186" s="100"/>
      <c r="F186" s="100"/>
      <c r="G186" s="100"/>
      <c r="H186" s="100"/>
      <c r="I186" s="100"/>
      <c r="J186" s="100"/>
      <c r="K186" s="100"/>
      <c r="L186" s="100"/>
      <c r="M186" s="100"/>
      <c r="N186" s="100"/>
      <c r="O186" s="100"/>
      <c r="P186" s="100"/>
      <c r="Q186" s="100"/>
      <c r="R186" s="100"/>
      <c r="S186" s="100"/>
      <c r="T186" s="100"/>
    </row>
    <row r="187" spans="1:25" s="110" customFormat="1" x14ac:dyDescent="0.3">
      <c r="A187" s="184" t="s">
        <v>48</v>
      </c>
      <c r="B187" s="206">
        <v>1999</v>
      </c>
      <c r="C187" s="105">
        <v>2000</v>
      </c>
      <c r="D187" s="105">
        <v>2001</v>
      </c>
      <c r="E187" s="105">
        <v>2002</v>
      </c>
      <c r="F187" s="105">
        <v>2003</v>
      </c>
      <c r="G187" s="105">
        <v>2004</v>
      </c>
      <c r="H187" s="105">
        <v>2005</v>
      </c>
      <c r="I187" s="105">
        <v>2006</v>
      </c>
      <c r="J187" s="105">
        <v>2007</v>
      </c>
      <c r="K187" s="105">
        <v>2008</v>
      </c>
      <c r="L187" s="105">
        <v>2009</v>
      </c>
      <c r="M187" s="105">
        <v>2010</v>
      </c>
      <c r="N187" s="105">
        <v>2011</v>
      </c>
      <c r="O187" s="105">
        <v>2012</v>
      </c>
      <c r="P187" s="105">
        <v>2013</v>
      </c>
      <c r="Q187" s="105">
        <v>2014</v>
      </c>
      <c r="R187" s="105">
        <v>2015</v>
      </c>
      <c r="S187" s="105">
        <v>2016</v>
      </c>
      <c r="T187" s="105">
        <v>2017</v>
      </c>
    </row>
    <row r="188" spans="1:25" s="48" customFormat="1" x14ac:dyDescent="0.3">
      <c r="A188" s="208" t="s">
        <v>325</v>
      </c>
      <c r="B188" s="198">
        <f>'ONS Services Trade Data 2018'!B28</f>
        <v>30.99</v>
      </c>
      <c r="C188" s="60">
        <f>'ONS Services Trade Data 2018'!C28</f>
        <v>33.735999999999997</v>
      </c>
      <c r="D188" s="198">
        <f>'ONS Services Trade Data 2018'!D28</f>
        <v>37.182000000000002</v>
      </c>
      <c r="E188" s="60">
        <f>'ONS Services Trade Data 2018'!E28</f>
        <v>38.369999999999997</v>
      </c>
      <c r="F188" s="198">
        <f>'ONS Services Trade Data 2018'!F28</f>
        <v>43.188000000000002</v>
      </c>
      <c r="G188" s="60">
        <f>'ONS Services Trade Data 2018'!G28</f>
        <v>46.862000000000002</v>
      </c>
      <c r="H188" s="198">
        <f>'ONS Services Trade Data 2018'!H28</f>
        <v>54.948999999999998</v>
      </c>
      <c r="I188" s="60">
        <f>'ONS Services Trade Data 2018'!I28</f>
        <v>59.982999999999997</v>
      </c>
      <c r="J188" s="198">
        <f>'ONS Services Trade Data 2018'!J28</f>
        <v>66.274000000000001</v>
      </c>
      <c r="K188" s="60">
        <f>'ONS Services Trade Data 2018'!K28</f>
        <v>69.951999999999998</v>
      </c>
      <c r="L188" s="198">
        <f>'ONS Services Trade Data 2018'!L28</f>
        <v>70.5</v>
      </c>
      <c r="M188" s="60">
        <f>'ONS Services Trade Data 2018'!M28</f>
        <v>73.974999999999994</v>
      </c>
      <c r="N188" s="198">
        <f>'ONS Services Trade Data 2018'!N28</f>
        <v>80.516000000000005</v>
      </c>
      <c r="O188" s="60">
        <f>'ONS Services Trade Data 2018'!O28</f>
        <v>82.915999999999997</v>
      </c>
      <c r="P188" s="198">
        <f>'ONS Services Trade Data 2018'!P28</f>
        <v>80.947999999999993</v>
      </c>
      <c r="Q188" s="60">
        <f>'ONS Services Trade Data 2018'!Q28</f>
        <v>90.613</v>
      </c>
      <c r="R188" s="198">
        <f>'ONS Services Trade Data 2018'!R28</f>
        <v>91.447999999999993</v>
      </c>
      <c r="S188" s="60">
        <f>'ONS Services Trade Data 2018'!S28</f>
        <v>97.74</v>
      </c>
      <c r="T188" s="198">
        <f>'ONS Services Trade Data 2018'!T28</f>
        <v>117.05</v>
      </c>
      <c r="U188" s="405" t="s">
        <v>275</v>
      </c>
      <c r="V188" s="48" t="s">
        <v>755</v>
      </c>
      <c r="Y188" s="48" t="s">
        <v>761</v>
      </c>
    </row>
    <row r="189" spans="1:25" x14ac:dyDescent="0.3">
      <c r="A189" s="51" t="s">
        <v>467</v>
      </c>
      <c r="B189" s="29">
        <f>'ONS Services Trade Data 2018'!B29</f>
        <v>34.960999999999999</v>
      </c>
      <c r="C189" s="29">
        <f>'ONS Services Trade Data 2018'!C29</f>
        <v>38.002000000000002</v>
      </c>
      <c r="D189" s="29">
        <f>'ONS Services Trade Data 2018'!D29</f>
        <v>40.814</v>
      </c>
      <c r="E189" s="29">
        <f>'ONS Services Trade Data 2018'!E29</f>
        <v>43.713999999999999</v>
      </c>
      <c r="F189" s="29">
        <f>'ONS Services Trade Data 2018'!F29</f>
        <v>47.863</v>
      </c>
      <c r="G189" s="29">
        <f>'ONS Services Trade Data 2018'!G29</f>
        <v>49.292999999999999</v>
      </c>
      <c r="H189" s="29">
        <f>'ONS Services Trade Data 2018'!H29</f>
        <v>53.192999999999998</v>
      </c>
      <c r="I189" s="29">
        <f>'ONS Services Trade Data 2018'!I29</f>
        <v>56.335999999999999</v>
      </c>
      <c r="J189" s="29">
        <f>'ONS Services Trade Data 2018'!J29</f>
        <v>56.890999999999998</v>
      </c>
      <c r="K189" s="29">
        <f>'ONS Services Trade Data 2018'!K29</f>
        <v>60.972999999999999</v>
      </c>
      <c r="L189" s="29">
        <f>'ONS Services Trade Data 2018'!L29</f>
        <v>59.433999999999997</v>
      </c>
      <c r="M189" s="29">
        <f>'ONS Services Trade Data 2018'!M29</f>
        <v>58.688000000000002</v>
      </c>
      <c r="N189" s="29">
        <f>'ONS Services Trade Data 2018'!N29</f>
        <v>59.695999999999998</v>
      </c>
      <c r="O189" s="29">
        <f>'ONS Services Trade Data 2018'!O29</f>
        <v>62.62</v>
      </c>
      <c r="P189" s="29">
        <f>'ONS Services Trade Data 2018'!P29</f>
        <v>65.515000000000001</v>
      </c>
      <c r="Q189" s="29">
        <f>'ONS Services Trade Data 2018'!Q29</f>
        <v>66.563999999999993</v>
      </c>
      <c r="R189" s="29">
        <f>'ONS Services Trade Data 2018'!R29</f>
        <v>68.647000000000006</v>
      </c>
      <c r="S189" s="29">
        <f>'ONS Services Trade Data 2018'!S29</f>
        <v>77.992999999999995</v>
      </c>
      <c r="T189" s="29">
        <f>'ONS Services Trade Data 2018'!T29</f>
        <v>80.616</v>
      </c>
      <c r="U189" s="92" t="s">
        <v>275</v>
      </c>
      <c r="V189" s="91" t="s">
        <v>756</v>
      </c>
    </row>
    <row r="190" spans="1:25" s="93" customFormat="1" x14ac:dyDescent="0.3">
      <c r="A190" s="37" t="s">
        <v>34</v>
      </c>
      <c r="B190" s="98">
        <f>B188-B189</f>
        <v>-3.9710000000000001</v>
      </c>
      <c r="C190" s="98">
        <f t="shared" ref="C190:S190" si="19">C188-C189</f>
        <v>-4.2660000000000053</v>
      </c>
      <c r="D190" s="98">
        <f t="shared" si="19"/>
        <v>-3.6319999999999979</v>
      </c>
      <c r="E190" s="98">
        <f t="shared" si="19"/>
        <v>-5.3440000000000012</v>
      </c>
      <c r="F190" s="98">
        <f t="shared" si="19"/>
        <v>-4.6749999999999972</v>
      </c>
      <c r="G190" s="98">
        <f t="shared" si="19"/>
        <v>-2.4309999999999974</v>
      </c>
      <c r="H190" s="98">
        <f t="shared" si="19"/>
        <v>1.7560000000000002</v>
      </c>
      <c r="I190" s="98">
        <f t="shared" si="19"/>
        <v>3.6469999999999985</v>
      </c>
      <c r="J190" s="98">
        <f t="shared" si="19"/>
        <v>9.3830000000000027</v>
      </c>
      <c r="K190" s="98">
        <f t="shared" si="19"/>
        <v>8.9789999999999992</v>
      </c>
      <c r="L190" s="98">
        <f t="shared" si="19"/>
        <v>11.066000000000003</v>
      </c>
      <c r="M190" s="98">
        <f t="shared" si="19"/>
        <v>15.286999999999992</v>
      </c>
      <c r="N190" s="98">
        <f t="shared" si="19"/>
        <v>20.820000000000007</v>
      </c>
      <c r="O190" s="98">
        <f t="shared" si="19"/>
        <v>20.295999999999999</v>
      </c>
      <c r="P190" s="98">
        <f t="shared" si="19"/>
        <v>15.432999999999993</v>
      </c>
      <c r="Q190" s="98">
        <f t="shared" si="19"/>
        <v>24.049000000000007</v>
      </c>
      <c r="R190" s="98">
        <f t="shared" si="19"/>
        <v>22.800999999999988</v>
      </c>
      <c r="S190" s="98">
        <f t="shared" si="19"/>
        <v>19.747</v>
      </c>
      <c r="T190" s="98">
        <f>T188-T189</f>
        <v>36.433999999999997</v>
      </c>
    </row>
    <row r="191" spans="1:25" x14ac:dyDescent="0.3">
      <c r="A191" s="4"/>
      <c r="B191" s="21"/>
      <c r="C191" s="21"/>
      <c r="D191" s="21"/>
      <c r="E191" s="21"/>
      <c r="F191" s="21"/>
      <c r="G191" s="21"/>
      <c r="H191" s="21"/>
      <c r="I191" s="21"/>
      <c r="J191" s="21"/>
      <c r="K191" s="21"/>
      <c r="L191" s="21"/>
      <c r="M191" s="21"/>
      <c r="N191" s="21"/>
      <c r="O191" s="21"/>
      <c r="P191" s="21"/>
      <c r="Q191" s="21"/>
      <c r="R191" s="21"/>
      <c r="S191" s="21"/>
      <c r="T191" s="21"/>
    </row>
    <row r="192" spans="1:25" s="110" customFormat="1" x14ac:dyDescent="0.3">
      <c r="A192" s="184" t="s">
        <v>48</v>
      </c>
      <c r="B192" s="206">
        <v>1999</v>
      </c>
      <c r="C192" s="105">
        <v>2000</v>
      </c>
      <c r="D192" s="105">
        <v>2001</v>
      </c>
      <c r="E192" s="105">
        <v>2002</v>
      </c>
      <c r="F192" s="105">
        <v>2003</v>
      </c>
      <c r="G192" s="105">
        <v>2004</v>
      </c>
      <c r="H192" s="105">
        <v>2005</v>
      </c>
      <c r="I192" s="105">
        <v>2006</v>
      </c>
      <c r="J192" s="105">
        <v>2007</v>
      </c>
      <c r="K192" s="105">
        <v>2008</v>
      </c>
      <c r="L192" s="105">
        <v>2009</v>
      </c>
      <c r="M192" s="105">
        <v>2010</v>
      </c>
      <c r="N192" s="105">
        <v>2011</v>
      </c>
      <c r="O192" s="105">
        <v>2012</v>
      </c>
      <c r="P192" s="105">
        <v>2013</v>
      </c>
      <c r="Q192" s="105">
        <v>2014</v>
      </c>
      <c r="R192" s="105">
        <v>2015</v>
      </c>
      <c r="S192" s="105">
        <v>2016</v>
      </c>
      <c r="T192" s="105">
        <v>2017</v>
      </c>
    </row>
    <row r="193" spans="1:25" s="48" customFormat="1" x14ac:dyDescent="0.3">
      <c r="A193" s="209" t="s">
        <v>326</v>
      </c>
      <c r="B193" s="207">
        <f>'ONS Services Trade Data 2018'!B30</f>
        <v>45.494999999999997</v>
      </c>
      <c r="C193" s="187">
        <f>'ONS Services Trade Data 2018'!C30</f>
        <v>48.674999999999997</v>
      </c>
      <c r="D193" s="207">
        <f>'ONS Services Trade Data 2018'!D30</f>
        <v>51.837000000000003</v>
      </c>
      <c r="E193" s="187">
        <f>'ONS Services Trade Data 2018'!E30</f>
        <v>55.323</v>
      </c>
      <c r="F193" s="207">
        <f>'ONS Services Trade Data 2018'!F30</f>
        <v>62.07</v>
      </c>
      <c r="G193" s="187">
        <f>'ONS Services Trade Data 2018'!G30</f>
        <v>68.816999999999993</v>
      </c>
      <c r="H193" s="207">
        <f>'ONS Services Trade Data 2018'!H30</f>
        <v>75.326999999999998</v>
      </c>
      <c r="I193" s="187">
        <f>'ONS Services Trade Data 2018'!I30</f>
        <v>86.97</v>
      </c>
      <c r="J193" s="207">
        <f>'ONS Services Trade Data 2018'!J30</f>
        <v>94.537000000000006</v>
      </c>
      <c r="K193" s="187">
        <f>'ONS Services Trade Data 2018'!K30</f>
        <v>100.206</v>
      </c>
      <c r="L193" s="207">
        <f>'ONS Services Trade Data 2018'!L30</f>
        <v>104.155</v>
      </c>
      <c r="M193" s="187">
        <f>'ONS Services Trade Data 2018'!M30</f>
        <v>106.075</v>
      </c>
      <c r="N193" s="207">
        <f>'ONS Services Trade Data 2018'!N30</f>
        <v>116.336</v>
      </c>
      <c r="O193" s="187">
        <f>'ONS Services Trade Data 2018'!O30</f>
        <v>122.438</v>
      </c>
      <c r="P193" s="207">
        <f>'ONS Services Trade Data 2018'!P30</f>
        <v>142.18799999999999</v>
      </c>
      <c r="Q193" s="187">
        <f>'ONS Services Trade Data 2018'!Q30</f>
        <v>136.56299999999999</v>
      </c>
      <c r="R193" s="207">
        <f>'ONS Services Trade Data 2018'!R30</f>
        <v>141.41</v>
      </c>
      <c r="S193" s="187">
        <f>'ONS Services Trade Data 2018'!S30</f>
        <v>160.148</v>
      </c>
      <c r="T193" s="207">
        <f>'ONS Services Trade Data 2018'!T30</f>
        <v>161.97399999999999</v>
      </c>
      <c r="U193" s="405" t="s">
        <v>275</v>
      </c>
      <c r="V193" s="48" t="s">
        <v>756</v>
      </c>
      <c r="Y193" s="48" t="s">
        <v>762</v>
      </c>
    </row>
    <row r="194" spans="1:25" x14ac:dyDescent="0.3">
      <c r="A194" s="4" t="s">
        <v>468</v>
      </c>
      <c r="B194" s="99">
        <f>'ONS Services Trade Data 2018'!B31</f>
        <v>27.946000000000002</v>
      </c>
      <c r="C194" s="99">
        <f>'ONS Services Trade Data 2018'!C31</f>
        <v>30.780999999999999</v>
      </c>
      <c r="D194" s="99">
        <f>'ONS Services Trade Data 2018'!D31</f>
        <v>31.791</v>
      </c>
      <c r="E194" s="99">
        <f>'ONS Services Trade Data 2018'!E31</f>
        <v>33.683</v>
      </c>
      <c r="F194" s="99">
        <f>'ONS Services Trade Data 2018'!F31</f>
        <v>36.426000000000002</v>
      </c>
      <c r="G194" s="99">
        <f>'ONS Services Trade Data 2018'!G31</f>
        <v>38.973999999999997</v>
      </c>
      <c r="H194" s="99">
        <f>'ONS Services Trade Data 2018'!H31</f>
        <v>42.582999999999998</v>
      </c>
      <c r="I194" s="99">
        <f>'ONS Services Trade Data 2018'!I31</f>
        <v>47.079000000000001</v>
      </c>
      <c r="J194" s="99">
        <f>'ONS Services Trade Data 2018'!J31</f>
        <v>50.356000000000002</v>
      </c>
      <c r="K194" s="99">
        <f>'ONS Services Trade Data 2018'!K31</f>
        <v>56.521999999999998</v>
      </c>
      <c r="L194" s="99">
        <f>'ONS Services Trade Data 2018'!L31</f>
        <v>58.241</v>
      </c>
      <c r="M194" s="99">
        <f>'ONS Services Trade Data 2018'!M31</f>
        <v>60.851999999999997</v>
      </c>
      <c r="N194" s="99">
        <f>'ONS Services Trade Data 2018'!N31</f>
        <v>61.265999999999998</v>
      </c>
      <c r="O194" s="99">
        <f>'ONS Services Trade Data 2018'!O31</f>
        <v>61.61</v>
      </c>
      <c r="P194" s="99">
        <f>'ONS Services Trade Data 2018'!P31</f>
        <v>67.667000000000002</v>
      </c>
      <c r="Q194" s="99">
        <f>'ONS Services Trade Data 2018'!Q31</f>
        <v>68.215999999999994</v>
      </c>
      <c r="R194" s="99">
        <f>'ONS Services Trade Data 2018'!R31</f>
        <v>73.385000000000005</v>
      </c>
      <c r="S194" s="99">
        <f>'ONS Services Trade Data 2018'!S31</f>
        <v>78.13</v>
      </c>
      <c r="T194" s="99">
        <f>'ONS Services Trade Data 2018'!T31</f>
        <v>84.113</v>
      </c>
      <c r="U194" s="92" t="s">
        <v>275</v>
      </c>
      <c r="V194" s="91" t="s">
        <v>756</v>
      </c>
    </row>
    <row r="195" spans="1:25" s="93" customFormat="1" x14ac:dyDescent="0.3">
      <c r="A195" s="37" t="s">
        <v>34</v>
      </c>
      <c r="B195" s="98">
        <f>B193-B194</f>
        <v>17.548999999999996</v>
      </c>
      <c r="C195" s="98">
        <f t="shared" ref="C195:S195" si="20">C193-C194</f>
        <v>17.893999999999998</v>
      </c>
      <c r="D195" s="98">
        <f t="shared" si="20"/>
        <v>20.046000000000003</v>
      </c>
      <c r="E195" s="98">
        <f t="shared" si="20"/>
        <v>21.64</v>
      </c>
      <c r="F195" s="98">
        <f t="shared" si="20"/>
        <v>25.643999999999998</v>
      </c>
      <c r="G195" s="98">
        <f t="shared" si="20"/>
        <v>29.842999999999996</v>
      </c>
      <c r="H195" s="98">
        <f t="shared" si="20"/>
        <v>32.744</v>
      </c>
      <c r="I195" s="98">
        <f t="shared" si="20"/>
        <v>39.890999999999998</v>
      </c>
      <c r="J195" s="98">
        <f t="shared" si="20"/>
        <v>44.181000000000004</v>
      </c>
      <c r="K195" s="98">
        <f t="shared" si="20"/>
        <v>43.684000000000005</v>
      </c>
      <c r="L195" s="98">
        <f t="shared" si="20"/>
        <v>45.914000000000001</v>
      </c>
      <c r="M195" s="98">
        <f t="shared" si="20"/>
        <v>45.223000000000006</v>
      </c>
      <c r="N195" s="98">
        <f t="shared" si="20"/>
        <v>55.07</v>
      </c>
      <c r="O195" s="98">
        <f t="shared" si="20"/>
        <v>60.828000000000003</v>
      </c>
      <c r="P195" s="98">
        <f t="shared" si="20"/>
        <v>74.520999999999987</v>
      </c>
      <c r="Q195" s="98">
        <f t="shared" si="20"/>
        <v>68.346999999999994</v>
      </c>
      <c r="R195" s="98">
        <f t="shared" si="20"/>
        <v>68.024999999999991</v>
      </c>
      <c r="S195" s="98">
        <f t="shared" si="20"/>
        <v>82.018000000000001</v>
      </c>
      <c r="T195" s="98">
        <f>T193-T194</f>
        <v>77.86099999999999</v>
      </c>
    </row>
    <row r="196" spans="1:25" s="44" customFormat="1" x14ac:dyDescent="0.3">
      <c r="A196" s="4"/>
      <c r="B196" s="100"/>
      <c r="C196" s="100"/>
      <c r="D196" s="100"/>
      <c r="E196" s="100"/>
      <c r="F196" s="100"/>
      <c r="G196" s="100"/>
      <c r="H196" s="100"/>
      <c r="I196" s="100"/>
      <c r="J196" s="100"/>
      <c r="K196" s="100"/>
      <c r="L196" s="100"/>
      <c r="M196" s="100"/>
      <c r="N196" s="100"/>
      <c r="O196" s="100"/>
      <c r="P196" s="100"/>
      <c r="Q196" s="100"/>
      <c r="R196" s="100"/>
      <c r="S196" s="100"/>
      <c r="T196" s="100" t="s">
        <v>596</v>
      </c>
      <c r="U196" s="44">
        <f>T188+T193</f>
        <v>279.024</v>
      </c>
    </row>
    <row r="197" spans="1:25" x14ac:dyDescent="0.3">
      <c r="B197" s="62"/>
      <c r="C197" s="62"/>
      <c r="D197" s="62"/>
      <c r="E197" s="62"/>
      <c r="F197" s="62"/>
      <c r="G197" s="62"/>
      <c r="H197" s="62"/>
      <c r="I197" s="62"/>
      <c r="J197" s="62"/>
      <c r="K197" s="62"/>
      <c r="L197" s="62"/>
      <c r="M197" s="62"/>
      <c r="N197" s="62"/>
      <c r="O197" s="62"/>
      <c r="P197" s="62"/>
      <c r="Q197" s="62"/>
      <c r="R197" s="62"/>
      <c r="S197" s="62"/>
      <c r="U197" s="92"/>
    </row>
    <row r="198" spans="1:25" s="500" customFormat="1" x14ac:dyDescent="0.3">
      <c r="B198" s="62"/>
      <c r="C198" s="62"/>
      <c r="D198" s="62"/>
      <c r="E198" s="62"/>
      <c r="F198" s="62"/>
      <c r="G198" s="62"/>
      <c r="H198" s="62"/>
      <c r="I198" s="62"/>
      <c r="J198" s="62"/>
      <c r="K198" s="62"/>
      <c r="L198" s="62"/>
      <c r="M198" s="62"/>
      <c r="N198" s="62"/>
      <c r="O198" s="62"/>
      <c r="P198" s="62"/>
      <c r="Q198" s="6" t="s">
        <v>734</v>
      </c>
      <c r="R198" s="6"/>
      <c r="S198" s="6"/>
      <c r="T198" s="6"/>
      <c r="U198" s="6"/>
      <c r="V198" s="6" t="s">
        <v>730</v>
      </c>
      <c r="W198" s="6"/>
    </row>
    <row r="199" spans="1:25" s="500" customFormat="1" x14ac:dyDescent="0.3">
      <c r="B199" s="62"/>
      <c r="C199" s="62"/>
      <c r="D199" s="62"/>
      <c r="E199" s="62"/>
      <c r="F199" s="62"/>
      <c r="G199" s="62"/>
      <c r="H199" s="62"/>
      <c r="I199" s="62"/>
      <c r="J199" s="62"/>
      <c r="K199" s="62"/>
      <c r="L199" s="62"/>
      <c r="M199" s="62"/>
      <c r="N199" s="62"/>
      <c r="O199" s="62"/>
      <c r="P199" s="62"/>
      <c r="Q199" s="624" t="s">
        <v>728</v>
      </c>
      <c r="R199" s="622">
        <f>R188/(R193+R188)</f>
        <v>0.39272002679744733</v>
      </c>
      <c r="S199" s="622">
        <f t="shared" ref="S199:T199" si="21">S188/(S193+S188)</f>
        <v>0.37900173718823676</v>
      </c>
      <c r="T199" s="622">
        <f t="shared" si="21"/>
        <v>0.41949796433281722</v>
      </c>
      <c r="V199" s="625">
        <f>(R199+S199+T199)/3</f>
        <v>0.39707324277283379</v>
      </c>
    </row>
    <row r="200" spans="1:25" s="500" customFormat="1" x14ac:dyDescent="0.3">
      <c r="B200" s="62"/>
      <c r="C200" s="62"/>
      <c r="D200" s="62"/>
      <c r="E200" s="62"/>
      <c r="F200" s="62"/>
      <c r="G200" s="62"/>
      <c r="H200" s="62"/>
      <c r="I200" s="62"/>
      <c r="J200" s="62"/>
      <c r="K200" s="62"/>
      <c r="L200" s="62"/>
      <c r="M200" s="62"/>
      <c r="N200" s="62"/>
      <c r="O200" s="62"/>
      <c r="P200" s="62"/>
      <c r="Q200" s="312" t="s">
        <v>729</v>
      </c>
      <c r="R200" s="623">
        <f>1-R199</f>
        <v>0.60727997320255267</v>
      </c>
      <c r="S200" s="623">
        <f t="shared" ref="S200:T200" si="22">1-S199</f>
        <v>0.62099826281176318</v>
      </c>
      <c r="T200" s="623">
        <f t="shared" si="22"/>
        <v>0.58050203566718284</v>
      </c>
      <c r="V200" s="626">
        <f>(R200+S200+T200)/3</f>
        <v>0.60292675722716627</v>
      </c>
    </row>
    <row r="201" spans="1:25" ht="18" x14ac:dyDescent="0.35">
      <c r="A201" s="204" t="s">
        <v>523</v>
      </c>
      <c r="W201" s="91" t="s">
        <v>151</v>
      </c>
    </row>
    <row r="202" spans="1:25" s="106" customFormat="1" x14ac:dyDescent="0.3">
      <c r="A202" s="104" t="s">
        <v>48</v>
      </c>
      <c r="B202" s="105" t="s">
        <v>1</v>
      </c>
      <c r="C202" s="105" t="s">
        <v>2</v>
      </c>
      <c r="D202" s="105">
        <v>2001</v>
      </c>
      <c r="E202" s="105" t="s">
        <v>4</v>
      </c>
      <c r="F202" s="105" t="s">
        <v>5</v>
      </c>
      <c r="G202" s="105" t="s">
        <v>6</v>
      </c>
      <c r="H202" s="105" t="s">
        <v>7</v>
      </c>
      <c r="I202" s="105" t="s">
        <v>8</v>
      </c>
      <c r="J202" s="105" t="s">
        <v>9</v>
      </c>
      <c r="K202" s="105" t="s">
        <v>10</v>
      </c>
      <c r="L202" s="105" t="s">
        <v>11</v>
      </c>
      <c r="M202" s="105" t="s">
        <v>12</v>
      </c>
      <c r="N202" s="105" t="s">
        <v>13</v>
      </c>
      <c r="O202" s="105" t="s">
        <v>14</v>
      </c>
      <c r="P202" s="105" t="s">
        <v>15</v>
      </c>
      <c r="Q202" s="105" t="s">
        <v>16</v>
      </c>
      <c r="R202" s="105" t="s">
        <v>17</v>
      </c>
      <c r="S202" s="105" t="s">
        <v>18</v>
      </c>
      <c r="T202" s="105">
        <v>2017</v>
      </c>
    </row>
    <row r="203" spans="1:25" x14ac:dyDescent="0.3">
      <c r="A203" s="31" t="s">
        <v>519</v>
      </c>
      <c r="B203" s="91">
        <v>82.6</v>
      </c>
      <c r="C203" s="91">
        <v>84.7</v>
      </c>
      <c r="D203" s="91">
        <v>84.5</v>
      </c>
      <c r="E203" s="91">
        <v>82.4</v>
      </c>
      <c r="F203" s="91">
        <v>83</v>
      </c>
      <c r="G203" s="91">
        <v>81.900000000000006</v>
      </c>
      <c r="H203" s="91">
        <v>84.8</v>
      </c>
      <c r="I203" s="91">
        <v>86.6</v>
      </c>
      <c r="J203" s="91">
        <v>86.5</v>
      </c>
      <c r="K203" s="91">
        <v>97.7</v>
      </c>
      <c r="L203" s="91">
        <v>100.4</v>
      </c>
      <c r="M203" s="91">
        <v>104</v>
      </c>
      <c r="N203" s="91">
        <v>111</v>
      </c>
      <c r="O203" s="91">
        <v>110.1</v>
      </c>
      <c r="P203" s="91">
        <v>111.1</v>
      </c>
      <c r="Q203" s="91">
        <v>106.3</v>
      </c>
      <c r="R203" s="91">
        <v>100</v>
      </c>
      <c r="S203" s="91">
        <v>103.4</v>
      </c>
      <c r="T203" s="91">
        <v>109.4</v>
      </c>
    </row>
    <row r="204" spans="1:25" x14ac:dyDescent="0.3">
      <c r="A204" s="31" t="s">
        <v>521</v>
      </c>
      <c r="B204" s="91">
        <f>B203/100</f>
        <v>0.82599999999999996</v>
      </c>
      <c r="C204" s="91">
        <f>C203/100</f>
        <v>0.84699999999999998</v>
      </c>
      <c r="D204" s="91">
        <f>D203/100</f>
        <v>0.84499999999999997</v>
      </c>
      <c r="E204" s="91">
        <f t="shared" ref="E204:S204" si="23">E203/100</f>
        <v>0.82400000000000007</v>
      </c>
      <c r="F204" s="91">
        <f t="shared" si="23"/>
        <v>0.83</v>
      </c>
      <c r="G204" s="91">
        <f t="shared" si="23"/>
        <v>0.81900000000000006</v>
      </c>
      <c r="H204" s="91">
        <f t="shared" si="23"/>
        <v>0.84799999999999998</v>
      </c>
      <c r="I204" s="91">
        <f t="shared" si="23"/>
        <v>0.86599999999999999</v>
      </c>
      <c r="J204" s="91">
        <f t="shared" si="23"/>
        <v>0.86499999999999999</v>
      </c>
      <c r="K204" s="91">
        <f t="shared" si="23"/>
        <v>0.97699999999999998</v>
      </c>
      <c r="L204" s="91">
        <f t="shared" si="23"/>
        <v>1.004</v>
      </c>
      <c r="M204" s="91">
        <f t="shared" si="23"/>
        <v>1.04</v>
      </c>
      <c r="N204" s="91">
        <f t="shared" si="23"/>
        <v>1.1100000000000001</v>
      </c>
      <c r="O204" s="91">
        <f t="shared" si="23"/>
        <v>1.101</v>
      </c>
      <c r="P204" s="91">
        <f t="shared" si="23"/>
        <v>1.111</v>
      </c>
      <c r="Q204" s="91">
        <f t="shared" si="23"/>
        <v>1.0629999999999999</v>
      </c>
      <c r="R204" s="91">
        <f t="shared" si="23"/>
        <v>1</v>
      </c>
      <c r="S204" s="91">
        <f t="shared" si="23"/>
        <v>1.034</v>
      </c>
      <c r="T204" s="91">
        <f>T203/100</f>
        <v>1.0940000000000001</v>
      </c>
    </row>
    <row r="205" spans="1:25" x14ac:dyDescent="0.3">
      <c r="A205" s="91" t="s">
        <v>520</v>
      </c>
      <c r="B205" s="62">
        <v>78</v>
      </c>
      <c r="C205" s="62">
        <v>79.3</v>
      </c>
      <c r="D205" s="62">
        <v>79.900000000000006</v>
      </c>
      <c r="E205" s="62">
        <v>79.099999999999994</v>
      </c>
      <c r="F205" s="62">
        <v>80.8</v>
      </c>
      <c r="G205" s="62">
        <v>80.5</v>
      </c>
      <c r="H205" s="62">
        <v>82.5</v>
      </c>
      <c r="I205" s="62">
        <v>83.8</v>
      </c>
      <c r="J205" s="62">
        <v>83.2</v>
      </c>
      <c r="K205" s="62">
        <v>91.2</v>
      </c>
      <c r="L205" s="62">
        <v>94.7</v>
      </c>
      <c r="M205" s="62">
        <v>99.7</v>
      </c>
      <c r="N205" s="62">
        <v>105.1</v>
      </c>
      <c r="O205" s="62">
        <v>105.3</v>
      </c>
      <c r="P205" s="62">
        <v>108.3</v>
      </c>
      <c r="Q205" s="62">
        <v>105.3</v>
      </c>
      <c r="R205" s="62">
        <v>100</v>
      </c>
      <c r="S205" s="62">
        <v>104.8</v>
      </c>
      <c r="T205" s="62">
        <v>111.3</v>
      </c>
    </row>
    <row r="206" spans="1:25" x14ac:dyDescent="0.3">
      <c r="A206" s="91" t="s">
        <v>522</v>
      </c>
      <c r="B206" s="91">
        <f>B205/100</f>
        <v>0.78</v>
      </c>
      <c r="C206" s="91">
        <f>C205/100</f>
        <v>0.79299999999999993</v>
      </c>
      <c r="D206" s="91">
        <f>D205/100</f>
        <v>0.79900000000000004</v>
      </c>
      <c r="E206" s="91">
        <f t="shared" ref="E206:S206" si="24">E205/100</f>
        <v>0.79099999999999993</v>
      </c>
      <c r="F206" s="91">
        <f t="shared" si="24"/>
        <v>0.80799999999999994</v>
      </c>
      <c r="G206" s="91">
        <f t="shared" si="24"/>
        <v>0.80500000000000005</v>
      </c>
      <c r="H206" s="91">
        <f t="shared" si="24"/>
        <v>0.82499999999999996</v>
      </c>
      <c r="I206" s="91">
        <f t="shared" si="24"/>
        <v>0.83799999999999997</v>
      </c>
      <c r="J206" s="91">
        <f t="shared" si="24"/>
        <v>0.83200000000000007</v>
      </c>
      <c r="K206" s="91">
        <f t="shared" si="24"/>
        <v>0.91200000000000003</v>
      </c>
      <c r="L206" s="91">
        <f t="shared" si="24"/>
        <v>0.94700000000000006</v>
      </c>
      <c r="M206" s="91">
        <f t="shared" si="24"/>
        <v>0.997</v>
      </c>
      <c r="N206" s="91">
        <f t="shared" si="24"/>
        <v>1.0509999999999999</v>
      </c>
      <c r="O206" s="91">
        <f t="shared" si="24"/>
        <v>1.0529999999999999</v>
      </c>
      <c r="P206" s="91">
        <f t="shared" si="24"/>
        <v>1.083</v>
      </c>
      <c r="Q206" s="91">
        <f t="shared" si="24"/>
        <v>1.0529999999999999</v>
      </c>
      <c r="R206" s="91">
        <f t="shared" si="24"/>
        <v>1</v>
      </c>
      <c r="S206" s="91">
        <f t="shared" si="24"/>
        <v>1.048</v>
      </c>
      <c r="T206" s="91">
        <f>T205/100</f>
        <v>1.113</v>
      </c>
    </row>
    <row r="208" spans="1:25" x14ac:dyDescent="0.3">
      <c r="A208" s="92" t="s">
        <v>520</v>
      </c>
    </row>
    <row r="209" spans="1:19" x14ac:dyDescent="0.3">
      <c r="A209" s="92" t="s">
        <v>519</v>
      </c>
    </row>
    <row r="210" spans="1:19" ht="36" customHeight="1" x14ac:dyDescent="0.3">
      <c r="A210" s="676" t="s">
        <v>617</v>
      </c>
      <c r="B210" s="676"/>
      <c r="C210" s="676"/>
      <c r="D210" s="676"/>
      <c r="E210" s="676"/>
      <c r="F210" s="676"/>
      <c r="G210" s="676"/>
      <c r="H210" s="676"/>
      <c r="I210" s="676"/>
      <c r="J210" s="676"/>
      <c r="K210" s="676"/>
    </row>
    <row r="212" spans="1:19" ht="18" x14ac:dyDescent="0.35">
      <c r="A212" s="204" t="s">
        <v>558</v>
      </c>
    </row>
    <row r="213" spans="1:19" x14ac:dyDescent="0.3">
      <c r="A213" s="2" t="s">
        <v>559</v>
      </c>
    </row>
    <row r="214" spans="1:19" x14ac:dyDescent="0.3">
      <c r="A214" s="348" t="s">
        <v>275</v>
      </c>
    </row>
    <row r="215" spans="1:19" s="106" customFormat="1" x14ac:dyDescent="0.3">
      <c r="A215" s="104" t="s">
        <v>48</v>
      </c>
      <c r="B215" s="105" t="s">
        <v>1</v>
      </c>
      <c r="C215" s="105" t="s">
        <v>2</v>
      </c>
      <c r="D215" s="105">
        <v>2001</v>
      </c>
      <c r="E215" s="105" t="s">
        <v>4</v>
      </c>
      <c r="F215" s="105" t="s">
        <v>5</v>
      </c>
      <c r="G215" s="105" t="s">
        <v>6</v>
      </c>
      <c r="H215" s="105" t="s">
        <v>7</v>
      </c>
      <c r="I215" s="105" t="s">
        <v>8</v>
      </c>
      <c r="J215" s="105" t="s">
        <v>9</v>
      </c>
      <c r="K215" s="105" t="s">
        <v>10</v>
      </c>
      <c r="L215" s="105" t="s">
        <v>11</v>
      </c>
      <c r="M215" s="105" t="s">
        <v>12</v>
      </c>
      <c r="N215" s="105" t="s">
        <v>13</v>
      </c>
      <c r="O215" s="105" t="s">
        <v>14</v>
      </c>
      <c r="P215" s="105" t="s">
        <v>15</v>
      </c>
      <c r="Q215" s="105" t="s">
        <v>16</v>
      </c>
      <c r="R215" s="105" t="s">
        <v>17</v>
      </c>
      <c r="S215" s="105" t="s">
        <v>18</v>
      </c>
    </row>
    <row r="216" spans="1:19" x14ac:dyDescent="0.3">
      <c r="A216" s="31" t="s">
        <v>496</v>
      </c>
      <c r="B216" s="91">
        <v>71.212000000000003</v>
      </c>
      <c r="C216" s="91">
        <v>72.727000000000004</v>
      </c>
      <c r="D216" s="91">
        <v>73.620999999999995</v>
      </c>
      <c r="E216" s="91">
        <v>75.343999999999994</v>
      </c>
      <c r="F216" s="91">
        <v>76.992999999999995</v>
      </c>
      <c r="G216" s="91">
        <v>79.135999999999996</v>
      </c>
      <c r="H216" s="91">
        <v>81.200999999999993</v>
      </c>
      <c r="I216" s="91">
        <v>83.745000000000005</v>
      </c>
      <c r="J216" s="91">
        <v>85.823999999999998</v>
      </c>
      <c r="K216" s="91">
        <v>88.055999999999997</v>
      </c>
      <c r="L216" s="91">
        <v>89.334999999999994</v>
      </c>
      <c r="M216" s="91">
        <v>90.966999999999999</v>
      </c>
      <c r="N216" s="91">
        <v>92.278000000000006</v>
      </c>
      <c r="O216" s="91">
        <v>94.194999999999993</v>
      </c>
      <c r="P216" s="91">
        <v>95.802999999999997</v>
      </c>
      <c r="Q216" s="91">
        <v>97.191999999999993</v>
      </c>
      <c r="R216" s="91">
        <v>97.847999999999999</v>
      </c>
      <c r="S216" s="91">
        <v>100</v>
      </c>
    </row>
    <row r="217" spans="1:19" x14ac:dyDescent="0.3">
      <c r="A217" s="91" t="s">
        <v>497</v>
      </c>
      <c r="B217" s="62">
        <f>100/B216</f>
        <v>1.4042577093748243</v>
      </c>
      <c r="C217" s="62">
        <f t="shared" ref="C217:S217" si="25">100/C216</f>
        <v>1.3750051562693359</v>
      </c>
      <c r="D217" s="62">
        <f t="shared" si="25"/>
        <v>1.3583080914413008</v>
      </c>
      <c r="E217" s="62">
        <f t="shared" si="25"/>
        <v>1.327245699723933</v>
      </c>
      <c r="F217" s="62">
        <f t="shared" si="25"/>
        <v>1.2988193731897706</v>
      </c>
      <c r="G217" s="62">
        <f t="shared" si="25"/>
        <v>1.2636473918317834</v>
      </c>
      <c r="H217" s="62">
        <f t="shared" si="25"/>
        <v>1.2315119271930151</v>
      </c>
      <c r="I217" s="62">
        <f t="shared" si="25"/>
        <v>1.1941011403665889</v>
      </c>
      <c r="J217" s="62">
        <f t="shared" si="25"/>
        <v>1.1651752423564505</v>
      </c>
      <c r="K217" s="62">
        <f t="shared" si="25"/>
        <v>1.1356409557554283</v>
      </c>
      <c r="L217" s="62">
        <f t="shared" si="25"/>
        <v>1.1193821010802039</v>
      </c>
      <c r="M217" s="62">
        <f t="shared" si="25"/>
        <v>1.0992997460617586</v>
      </c>
      <c r="N217" s="62">
        <f t="shared" si="25"/>
        <v>1.0836819176835215</v>
      </c>
      <c r="O217" s="62">
        <f t="shared" si="25"/>
        <v>1.0616274749190511</v>
      </c>
      <c r="P217" s="62">
        <f t="shared" si="25"/>
        <v>1.0438086489984657</v>
      </c>
      <c r="Q217" s="62">
        <f t="shared" si="25"/>
        <v>1.0288912667709278</v>
      </c>
      <c r="R217" s="62">
        <f t="shared" si="25"/>
        <v>1.0219932957239801</v>
      </c>
      <c r="S217" s="62">
        <f t="shared" si="25"/>
        <v>1</v>
      </c>
    </row>
  </sheetData>
  <mergeCells count="9">
    <mergeCell ref="A210:K210"/>
    <mergeCell ref="A2:M2"/>
    <mergeCell ref="A98:E98"/>
    <mergeCell ref="A123:D123"/>
    <mergeCell ref="A100:M100"/>
    <mergeCell ref="A45:E45"/>
    <mergeCell ref="A7:L7"/>
    <mergeCell ref="A99:K99"/>
    <mergeCell ref="A6:M6"/>
  </mergeCells>
  <hyperlinks>
    <hyperlink ref="A208" r:id="rId1" xr:uid="{ECECE238-03AE-44E0-BC4A-4DE456E29054}"/>
    <hyperlink ref="A209" r:id="rId2" xr:uid="{347297B8-31BD-4328-960C-4286FD219869}"/>
    <hyperlink ref="A214" r:id="rId3" xr:uid="{325AC562-CA43-48F4-89DD-C70D28FD79EB}"/>
    <hyperlink ref="U194" r:id="rId4" xr:uid="{A32758AF-3CC0-4893-8A0D-1446231A3A0B}"/>
    <hyperlink ref="U189" r:id="rId5" xr:uid="{B51E14DC-B1E2-4940-85E6-D4A2089CDAEA}"/>
    <hyperlink ref="U188" r:id="rId6" xr:uid="{D5CEE183-8B59-48B9-B876-A17B8E1BACCE}"/>
    <hyperlink ref="U193" r:id="rId7" xr:uid="{5480D1F6-B084-4F1A-B8F9-EF9EDA7B152F}"/>
    <hyperlink ref="B5" r:id="rId8" xr:uid="{5329AF67-9721-49D2-AC54-AC2532F3AD9C}"/>
    <hyperlink ref="B4" r:id="rId9" xr:uid="{F2572B63-DDF2-4790-B8E9-CCAD044777ED}"/>
  </hyperlinks>
  <pageMargins left="0.7" right="0.7" top="0.75" bottom="0.75" header="0.3" footer="0.3"/>
  <pageSetup paperSize="9" orientation="portrait" horizontalDpi="200" verticalDpi="200" copies="0" r:id="rId10"/>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3A4F4-601B-44D1-BED9-C453C62D8B2C}">
  <dimension ref="A1:CR347"/>
  <sheetViews>
    <sheetView zoomScale="90" zoomScaleNormal="90" workbookViewId="0">
      <selection activeCell="B243" sqref="B243"/>
    </sheetView>
  </sheetViews>
  <sheetFormatPr defaultRowHeight="14.4" x14ac:dyDescent="0.3"/>
  <cols>
    <col min="1" max="1" width="41.44140625" style="71" customWidth="1"/>
    <col min="2" max="2" width="13.109375" style="71" customWidth="1"/>
    <col min="3" max="3" width="13.6640625" style="71" bestFit="1" customWidth="1"/>
    <col min="4" max="4" width="12.77734375" style="71" customWidth="1"/>
    <col min="5" max="5" width="18.5546875" style="71" customWidth="1"/>
    <col min="6" max="6" width="13.33203125" style="71" customWidth="1"/>
    <col min="7" max="7" width="25.33203125" style="71" customWidth="1"/>
    <col min="8" max="8" width="14.77734375" style="71" customWidth="1"/>
    <col min="9" max="9" width="11.44140625" style="71" customWidth="1"/>
    <col min="10" max="20" width="13.77734375" style="71" bestFit="1" customWidth="1"/>
    <col min="21" max="21" width="11.6640625" style="71" customWidth="1"/>
    <col min="22" max="22" width="14.109375" style="71" customWidth="1"/>
    <col min="23" max="24" width="12.33203125" style="71" customWidth="1"/>
    <col min="25" max="25" width="11.6640625" style="71" bestFit="1" customWidth="1"/>
    <col min="26" max="16384" width="8.88671875" style="71"/>
  </cols>
  <sheetData>
    <row r="1" spans="1:13" s="157" customFormat="1" ht="44.4" customHeight="1" x14ac:dyDescent="0.4">
      <c r="A1" s="157" t="s">
        <v>178</v>
      </c>
    </row>
    <row r="2" spans="1:13" s="157" customFormat="1" ht="103.2" customHeight="1" x14ac:dyDescent="0.4">
      <c r="A2" s="671" t="s">
        <v>773</v>
      </c>
      <c r="B2" s="671"/>
      <c r="C2" s="671"/>
      <c r="D2" s="671"/>
      <c r="E2" s="671"/>
      <c r="F2" s="671"/>
      <c r="G2" s="671"/>
      <c r="H2" s="671"/>
      <c r="I2" s="671"/>
      <c r="J2" s="671"/>
      <c r="K2" s="671"/>
      <c r="L2" s="671"/>
      <c r="M2" s="671"/>
    </row>
    <row r="3" spans="1:13" s="91" customFormat="1" ht="19.8" customHeight="1" x14ac:dyDescent="0.3">
      <c r="A3" s="684" t="s">
        <v>626</v>
      </c>
      <c r="B3" s="684"/>
      <c r="C3" s="684"/>
      <c r="D3" s="684"/>
      <c r="E3" s="684"/>
      <c r="F3" s="684"/>
      <c r="G3" s="684"/>
      <c r="H3" s="684"/>
      <c r="I3" s="684"/>
      <c r="J3" s="684"/>
      <c r="K3" s="684"/>
      <c r="L3" s="684"/>
      <c r="M3" s="684"/>
    </row>
    <row r="4" spans="1:13" s="500" customFormat="1" ht="19.8" customHeight="1" x14ac:dyDescent="0.3">
      <c r="A4" s="648" t="s">
        <v>774</v>
      </c>
      <c r="B4" s="641"/>
      <c r="C4" s="641"/>
      <c r="D4" s="641"/>
      <c r="E4" s="641"/>
      <c r="F4" s="641"/>
      <c r="G4" s="641"/>
      <c r="H4" s="641"/>
      <c r="I4" s="641"/>
      <c r="J4" s="641"/>
      <c r="K4" s="641"/>
      <c r="L4" s="641"/>
      <c r="M4" s="641"/>
    </row>
    <row r="5" spans="1:13" s="91" customFormat="1" ht="23.4" customHeight="1" x14ac:dyDescent="0.35">
      <c r="A5" s="95" t="s">
        <v>455</v>
      </c>
      <c r="B5" s="83"/>
      <c r="C5" s="6"/>
      <c r="F5" s="9"/>
    </row>
    <row r="6" spans="1:13" x14ac:dyDescent="0.3">
      <c r="A6" s="141" t="s">
        <v>189</v>
      </c>
      <c r="B6" s="112" t="s">
        <v>128</v>
      </c>
      <c r="C6" s="172">
        <v>2017</v>
      </c>
      <c r="F6" s="72"/>
    </row>
    <row r="7" spans="1:13" x14ac:dyDescent="0.3">
      <c r="A7" s="173" t="s">
        <v>452</v>
      </c>
      <c r="B7" s="57">
        <f>(B177+B183)/1000</f>
        <v>165.279</v>
      </c>
      <c r="C7" s="174">
        <f>(U177+U183)/1000</f>
        <v>338.73899999999998</v>
      </c>
    </row>
    <row r="8" spans="1:13" x14ac:dyDescent="0.3">
      <c r="A8" s="144" t="s">
        <v>453</v>
      </c>
      <c r="B8" s="175">
        <v>151.19999999999999</v>
      </c>
      <c r="C8" s="176">
        <v>302.10000000000002</v>
      </c>
    </row>
    <row r="9" spans="1:13" s="91" customFormat="1" x14ac:dyDescent="0.3">
      <c r="A9" s="44"/>
      <c r="B9" s="307"/>
      <c r="C9" s="265"/>
    </row>
    <row r="10" spans="1:13" s="91" customFormat="1" x14ac:dyDescent="0.3">
      <c r="A10" s="214" t="s">
        <v>621</v>
      </c>
      <c r="B10" s="221" t="s">
        <v>137</v>
      </c>
      <c r="C10" s="221" t="s">
        <v>480</v>
      </c>
      <c r="D10" s="142" t="s">
        <v>332</v>
      </c>
    </row>
    <row r="11" spans="1:13" s="91" customFormat="1" x14ac:dyDescent="0.3">
      <c r="A11" s="331" t="s">
        <v>482</v>
      </c>
      <c r="B11" s="338">
        <v>19.600000000000001</v>
      </c>
      <c r="C11" s="338">
        <v>25.27</v>
      </c>
      <c r="D11" s="339">
        <f>B11+C11</f>
        <v>44.870000000000005</v>
      </c>
    </row>
    <row r="12" spans="1:13" s="91" customFormat="1" x14ac:dyDescent="0.3">
      <c r="A12" s="331" t="s">
        <v>483</v>
      </c>
      <c r="B12" s="338">
        <v>12.45</v>
      </c>
      <c r="C12" s="338">
        <v>23.77</v>
      </c>
      <c r="D12" s="339">
        <f t="shared" ref="D12:D20" si="0">B12+C12</f>
        <v>36.22</v>
      </c>
    </row>
    <row r="13" spans="1:13" s="91" customFormat="1" x14ac:dyDescent="0.3">
      <c r="A13" s="331" t="s">
        <v>484</v>
      </c>
      <c r="B13" s="338">
        <v>12.82</v>
      </c>
      <c r="C13" s="338">
        <v>17.89</v>
      </c>
      <c r="D13" s="339">
        <f t="shared" si="0"/>
        <v>30.71</v>
      </c>
    </row>
    <row r="14" spans="1:13" s="91" customFormat="1" x14ac:dyDescent="0.3">
      <c r="A14" s="331" t="s">
        <v>486</v>
      </c>
      <c r="B14" s="338">
        <v>17.5</v>
      </c>
      <c r="C14" s="338">
        <v>10.95</v>
      </c>
      <c r="D14" s="339">
        <v>28.3</v>
      </c>
    </row>
    <row r="15" spans="1:13" s="91" customFormat="1" x14ac:dyDescent="0.3">
      <c r="A15" s="331" t="s">
        <v>485</v>
      </c>
      <c r="B15" s="338">
        <v>13.26</v>
      </c>
      <c r="C15" s="338">
        <v>14.77</v>
      </c>
      <c r="D15" s="339">
        <v>27.3</v>
      </c>
    </row>
    <row r="16" spans="1:13" s="91" customFormat="1" x14ac:dyDescent="0.3">
      <c r="A16" s="331" t="s">
        <v>488</v>
      </c>
      <c r="B16" s="338">
        <v>12.07</v>
      </c>
      <c r="C16" s="338">
        <v>14.89</v>
      </c>
      <c r="D16" s="339">
        <f t="shared" si="0"/>
        <v>26.96</v>
      </c>
    </row>
    <row r="17" spans="1:4" s="91" customFormat="1" x14ac:dyDescent="0.3">
      <c r="A17" s="331" t="s">
        <v>489</v>
      </c>
      <c r="B17" s="338">
        <v>6.87</v>
      </c>
      <c r="C17" s="338">
        <v>8.8699999999999992</v>
      </c>
      <c r="D17" s="339">
        <f t="shared" si="0"/>
        <v>15.739999999999998</v>
      </c>
    </row>
    <row r="18" spans="1:4" s="91" customFormat="1" x14ac:dyDescent="0.3">
      <c r="A18" s="331" t="s">
        <v>490</v>
      </c>
      <c r="B18" s="338">
        <v>9.11</v>
      </c>
      <c r="C18" s="338">
        <v>3.93</v>
      </c>
      <c r="D18" s="339">
        <f t="shared" si="0"/>
        <v>13.04</v>
      </c>
    </row>
    <row r="19" spans="1:4" s="91" customFormat="1" x14ac:dyDescent="0.3">
      <c r="A19" s="331" t="s">
        <v>491</v>
      </c>
      <c r="B19" s="338">
        <v>5.41</v>
      </c>
      <c r="C19" s="338">
        <v>6.56</v>
      </c>
      <c r="D19" s="339">
        <f t="shared" si="0"/>
        <v>11.969999999999999</v>
      </c>
    </row>
    <row r="20" spans="1:4" s="91" customFormat="1" x14ac:dyDescent="0.3">
      <c r="A20" s="331" t="s">
        <v>492</v>
      </c>
      <c r="B20" s="338">
        <v>2.85</v>
      </c>
      <c r="C20" s="338">
        <v>4.9400000000000004</v>
      </c>
      <c r="D20" s="339">
        <f t="shared" si="0"/>
        <v>7.7900000000000009</v>
      </c>
    </row>
    <row r="21" spans="1:4" s="91" customFormat="1" x14ac:dyDescent="0.3">
      <c r="A21" s="328" t="s">
        <v>487</v>
      </c>
      <c r="B21" s="334">
        <f>145.8-SUM(B11:B20)</f>
        <v>33.860000000000028</v>
      </c>
      <c r="C21" s="334">
        <f>156.2-SUM(C11:C20)</f>
        <v>24.359999999999957</v>
      </c>
      <c r="D21" s="329">
        <f>B21+C21</f>
        <v>58.219999999999985</v>
      </c>
    </row>
    <row r="22" spans="1:4" s="91" customFormat="1" x14ac:dyDescent="0.3">
      <c r="A22" s="332" t="s">
        <v>119</v>
      </c>
      <c r="B22" s="335">
        <v>2.1989999999999998</v>
      </c>
      <c r="C22" s="335">
        <f>D22-B22</f>
        <v>0.90100000000000025</v>
      </c>
      <c r="D22" s="333">
        <v>3.1</v>
      </c>
    </row>
    <row r="23" spans="1:4" s="91" customFormat="1" x14ac:dyDescent="0.3">
      <c r="A23" s="223" t="s">
        <v>620</v>
      </c>
      <c r="B23" s="195">
        <v>12.52</v>
      </c>
      <c r="C23" s="335">
        <f t="shared" ref="C23:C27" si="1">D23-B23</f>
        <v>6.18</v>
      </c>
      <c r="D23" s="323">
        <v>18.7</v>
      </c>
    </row>
    <row r="24" spans="1:4" s="91" customFormat="1" x14ac:dyDescent="0.3">
      <c r="A24" s="223" t="s">
        <v>122</v>
      </c>
      <c r="B24" s="195">
        <v>0.17499999999999999</v>
      </c>
      <c r="C24" s="335">
        <f t="shared" si="1"/>
        <v>2.5000000000000022E-2</v>
      </c>
      <c r="D24" s="323">
        <v>0.2</v>
      </c>
    </row>
    <row r="25" spans="1:4" s="91" customFormat="1" x14ac:dyDescent="0.3">
      <c r="A25" s="223" t="s">
        <v>123</v>
      </c>
      <c r="B25" s="195">
        <v>1.365</v>
      </c>
      <c r="C25" s="335">
        <f t="shared" si="1"/>
        <v>4.1349999999999998</v>
      </c>
      <c r="D25" s="323">
        <v>5.5</v>
      </c>
    </row>
    <row r="26" spans="1:4" s="91" customFormat="1" x14ac:dyDescent="0.3">
      <c r="A26" s="223" t="s">
        <v>124</v>
      </c>
      <c r="B26" s="336">
        <v>1.82</v>
      </c>
      <c r="C26" s="335">
        <f t="shared" si="1"/>
        <v>1.8800000000000001</v>
      </c>
      <c r="D26" s="323">
        <v>3.7</v>
      </c>
    </row>
    <row r="27" spans="1:4" s="91" customFormat="1" x14ac:dyDescent="0.3">
      <c r="A27" s="223" t="s">
        <v>125</v>
      </c>
      <c r="B27" s="195">
        <v>0.14099999999999999</v>
      </c>
      <c r="C27" s="335">
        <f t="shared" si="1"/>
        <v>5.359</v>
      </c>
      <c r="D27" s="323">
        <v>5.5</v>
      </c>
    </row>
    <row r="28" spans="1:4" s="91" customFormat="1" x14ac:dyDescent="0.3">
      <c r="A28" s="224" t="s">
        <v>188</v>
      </c>
      <c r="B28" s="166">
        <f>SUM(B11:B27)</f>
        <v>164.02000000000004</v>
      </c>
      <c r="C28" s="166">
        <f>SUM(C11:C27)</f>
        <v>174.68</v>
      </c>
      <c r="D28" s="324">
        <f>SUM(D11:D27)</f>
        <v>337.82</v>
      </c>
    </row>
    <row r="29" spans="1:4" s="91" customFormat="1" x14ac:dyDescent="0.3">
      <c r="A29" s="325" t="s">
        <v>481</v>
      </c>
      <c r="B29" s="307"/>
      <c r="C29" s="265"/>
    </row>
    <row r="30" spans="1:4" s="91" customFormat="1" x14ac:dyDescent="0.3">
      <c r="A30" s="337" t="s">
        <v>741</v>
      </c>
      <c r="B30" s="633">
        <f>SUM(B11:B21)</f>
        <v>145.80000000000001</v>
      </c>
      <c r="C30" s="634">
        <f>SUM(C11:C21)</f>
        <v>156.19999999999999</v>
      </c>
      <c r="D30" s="633">
        <f>SUM(D11:D21)</f>
        <v>301.12</v>
      </c>
    </row>
    <row r="31" spans="1:4" s="91" customFormat="1" x14ac:dyDescent="0.3">
      <c r="A31" s="223"/>
      <c r="B31" s="326"/>
      <c r="C31" s="327"/>
      <c r="D31" s="327"/>
    </row>
    <row r="32" spans="1:4" s="91" customFormat="1" x14ac:dyDescent="0.3">
      <c r="A32" s="44"/>
      <c r="B32" s="307"/>
      <c r="C32" s="265"/>
    </row>
    <row r="33" spans="1:6" s="91" customFormat="1" ht="18" x14ac:dyDescent="0.35">
      <c r="A33" s="95" t="s">
        <v>625</v>
      </c>
      <c r="B33" s="83"/>
      <c r="C33" s="6"/>
    </row>
    <row r="34" spans="1:6" s="91" customFormat="1" x14ac:dyDescent="0.3">
      <c r="A34" s="91" t="s">
        <v>498</v>
      </c>
      <c r="B34" s="96"/>
      <c r="C34" s="55"/>
    </row>
    <row r="35" spans="1:6" s="91" customFormat="1" ht="28.8" x14ac:dyDescent="0.3">
      <c r="A35" s="214" t="s">
        <v>194</v>
      </c>
      <c r="B35" s="221">
        <v>1998</v>
      </c>
      <c r="C35" s="221">
        <v>2017</v>
      </c>
      <c r="D35" s="142" t="s">
        <v>622</v>
      </c>
    </row>
    <row r="36" spans="1:6" s="91" customFormat="1" x14ac:dyDescent="0.3">
      <c r="A36" s="223" t="s">
        <v>121</v>
      </c>
      <c r="B36" s="119">
        <f>B8</f>
        <v>151.19999999999999</v>
      </c>
      <c r="C36" s="120">
        <f>C8</f>
        <v>302.10000000000002</v>
      </c>
      <c r="D36" s="225">
        <f>C36/C44</f>
        <v>0.89167650531286902</v>
      </c>
    </row>
    <row r="37" spans="1:6" s="91" customFormat="1" x14ac:dyDescent="0.3">
      <c r="A37" s="365" t="s">
        <v>580</v>
      </c>
      <c r="B37" s="366">
        <f>SUM(B38:B43)</f>
        <v>13.9</v>
      </c>
      <c r="C37" s="367">
        <f>SUM(C38:C43)</f>
        <v>36.700000000000003</v>
      </c>
      <c r="D37" s="368">
        <f>C37/C44</f>
        <v>0.10832349468713105</v>
      </c>
      <c r="E37" s="616">
        <f>B36/B44</f>
        <v>0.91580860084797089</v>
      </c>
    </row>
    <row r="38" spans="1:6" s="91" customFormat="1" x14ac:dyDescent="0.3">
      <c r="A38" s="369" t="s">
        <v>581</v>
      </c>
      <c r="B38" s="370">
        <v>1.5</v>
      </c>
      <c r="C38" s="370">
        <f t="shared" ref="C38:C43" si="2">D22</f>
        <v>3.1</v>
      </c>
      <c r="D38" s="371">
        <f>C38/C7</f>
        <v>9.1515886862746851E-3</v>
      </c>
      <c r="E38" s="18"/>
    </row>
    <row r="39" spans="1:6" s="91" customFormat="1" x14ac:dyDescent="0.3">
      <c r="A39" s="369" t="s">
        <v>582</v>
      </c>
      <c r="B39" s="370">
        <v>7.2</v>
      </c>
      <c r="C39" s="370">
        <f t="shared" si="2"/>
        <v>18.7</v>
      </c>
      <c r="D39" s="371">
        <f>C39/C7</f>
        <v>5.5204744655915031E-2</v>
      </c>
    </row>
    <row r="40" spans="1:6" s="91" customFormat="1" x14ac:dyDescent="0.3">
      <c r="A40" s="369" t="s">
        <v>583</v>
      </c>
      <c r="B40" s="370">
        <v>0</v>
      </c>
      <c r="C40" s="370">
        <f t="shared" si="2"/>
        <v>0.2</v>
      </c>
      <c r="D40" s="371">
        <f>C40/C7</f>
        <v>5.9042507653385065E-4</v>
      </c>
    </row>
    <row r="41" spans="1:6" s="91" customFormat="1" x14ac:dyDescent="0.3">
      <c r="A41" s="369" t="s">
        <v>584</v>
      </c>
      <c r="B41" s="370">
        <v>0.9</v>
      </c>
      <c r="C41" s="370">
        <f t="shared" si="2"/>
        <v>5.5</v>
      </c>
      <c r="D41" s="371">
        <f>C41/C7</f>
        <v>1.6236689604680891E-2</v>
      </c>
    </row>
    <row r="42" spans="1:6" s="91" customFormat="1" x14ac:dyDescent="0.3">
      <c r="A42" s="369" t="s">
        <v>585</v>
      </c>
      <c r="B42" s="372">
        <v>3</v>
      </c>
      <c r="C42" s="370">
        <f t="shared" si="2"/>
        <v>3.7</v>
      </c>
      <c r="D42" s="371">
        <f>C42/C7</f>
        <v>1.0922863915876236E-2</v>
      </c>
    </row>
    <row r="43" spans="1:6" s="91" customFormat="1" x14ac:dyDescent="0.3">
      <c r="A43" s="369" t="s">
        <v>586</v>
      </c>
      <c r="B43" s="370">
        <v>1.3</v>
      </c>
      <c r="C43" s="370">
        <f t="shared" si="2"/>
        <v>5.5</v>
      </c>
      <c r="D43" s="371">
        <f>C43/C7</f>
        <v>1.6236689604680891E-2</v>
      </c>
    </row>
    <row r="44" spans="1:6" x14ac:dyDescent="0.3">
      <c r="A44" s="224" t="s">
        <v>188</v>
      </c>
      <c r="B44" s="166">
        <f>B36+SUM(B38:B43)</f>
        <v>165.1</v>
      </c>
      <c r="C44" s="166">
        <f>C36+SUM(C38:C43)</f>
        <v>338.8</v>
      </c>
      <c r="D44" s="177"/>
      <c r="E44" s="45"/>
      <c r="F44" s="81"/>
    </row>
    <row r="45" spans="1:6" s="91" customFormat="1" x14ac:dyDescent="0.3">
      <c r="A45" s="131"/>
      <c r="B45" s="19"/>
      <c r="D45" s="10"/>
      <c r="E45" s="45"/>
      <c r="F45" s="81"/>
    </row>
    <row r="46" spans="1:6" s="91" customFormat="1" x14ac:dyDescent="0.3">
      <c r="A46" s="141" t="s">
        <v>293</v>
      </c>
      <c r="B46" s="191">
        <v>1998</v>
      </c>
      <c r="C46" s="125">
        <v>2017</v>
      </c>
      <c r="E46" s="45"/>
      <c r="F46" s="81"/>
    </row>
    <row r="47" spans="1:6" x14ac:dyDescent="0.3">
      <c r="A47" s="218" t="s">
        <v>195</v>
      </c>
      <c r="B47" s="219">
        <f>B8/B7</f>
        <v>0.91481676438022974</v>
      </c>
      <c r="C47" s="220">
        <f>C8/C7</f>
        <v>0.8918370781043814</v>
      </c>
    </row>
    <row r="48" spans="1:6" x14ac:dyDescent="0.3">
      <c r="A48" s="91"/>
      <c r="B48" s="19"/>
      <c r="C48" s="91"/>
    </row>
    <row r="49" spans="1:24" s="91" customFormat="1" x14ac:dyDescent="0.3">
      <c r="B49" s="19"/>
    </row>
    <row r="50" spans="1:24" s="91" customFormat="1" ht="18" x14ac:dyDescent="0.35">
      <c r="A50" s="95" t="s">
        <v>570</v>
      </c>
      <c r="B50" s="83"/>
      <c r="C50" s="6"/>
    </row>
    <row r="51" spans="1:24" s="347" customFormat="1" ht="31.2" customHeight="1" x14ac:dyDescent="0.3">
      <c r="A51" s="686" t="s">
        <v>627</v>
      </c>
      <c r="B51" s="686"/>
      <c r="C51" s="686"/>
      <c r="D51" s="686"/>
      <c r="E51" s="686"/>
      <c r="F51" s="686"/>
      <c r="G51" s="686"/>
      <c r="H51" s="686"/>
      <c r="I51" s="686"/>
    </row>
    <row r="52" spans="1:24" s="91" customFormat="1" ht="43.2" x14ac:dyDescent="0.3">
      <c r="A52" s="141" t="s">
        <v>221</v>
      </c>
      <c r="B52" s="113" t="s">
        <v>218</v>
      </c>
      <c r="C52" s="111" t="s">
        <v>571</v>
      </c>
      <c r="D52" s="113" t="s">
        <v>219</v>
      </c>
      <c r="E52" s="142" t="s">
        <v>572</v>
      </c>
      <c r="G52" s="189" t="s">
        <v>573</v>
      </c>
      <c r="H52" s="121" t="s">
        <v>65</v>
      </c>
      <c r="I52" s="142" t="s">
        <v>95</v>
      </c>
    </row>
    <row r="53" spans="1:24" s="91" customFormat="1" x14ac:dyDescent="0.3">
      <c r="A53" s="70" t="s">
        <v>137</v>
      </c>
      <c r="B53" s="138">
        <f>B91</f>
        <v>134.06180215848977</v>
      </c>
      <c r="C53" s="120">
        <f>C91</f>
        <v>139.08505841672209</v>
      </c>
      <c r="D53" s="138">
        <f>B92</f>
        <v>133.41775186713275</v>
      </c>
      <c r="E53" s="143">
        <f>C92</f>
        <v>228.78774333006834</v>
      </c>
      <c r="G53" s="70" t="s">
        <v>96</v>
      </c>
      <c r="H53" s="160">
        <f>E91</f>
        <v>3.7469705593646707E-2</v>
      </c>
      <c r="I53" s="158">
        <f>E93</f>
        <v>0.74178930304894208</v>
      </c>
    </row>
    <row r="54" spans="1:24" s="91" customFormat="1" x14ac:dyDescent="0.3">
      <c r="A54" s="144" t="s">
        <v>64</v>
      </c>
      <c r="B54" s="145">
        <f>B93</f>
        <v>87.882717854347518</v>
      </c>
      <c r="C54" s="146">
        <f>C93</f>
        <v>153.07317788157079</v>
      </c>
      <c r="D54" s="145">
        <f>B94</f>
        <v>108.60997639126735</v>
      </c>
      <c r="E54" s="147">
        <f>C94</f>
        <v>190.20725021422751</v>
      </c>
      <c r="F54" s="6"/>
      <c r="G54" s="144" t="s">
        <v>86</v>
      </c>
      <c r="H54" s="190">
        <f>E92</f>
        <v>0.71482235405909156</v>
      </c>
      <c r="I54" s="159">
        <f>E94</f>
        <v>0.75128709658315407</v>
      </c>
      <c r="R54" s="18"/>
      <c r="V54" s="6"/>
      <c r="W54" s="33"/>
      <c r="X54" s="33"/>
    </row>
    <row r="55" spans="1:24" s="91" customFormat="1" x14ac:dyDescent="0.3">
      <c r="B55" s="101"/>
      <c r="C55" s="77"/>
      <c r="D55" s="77"/>
      <c r="E55" s="77"/>
      <c r="F55" s="6"/>
      <c r="G55" s="18"/>
      <c r="H55" s="18"/>
      <c r="R55" s="18"/>
      <c r="V55" s="6"/>
      <c r="W55" s="33"/>
      <c r="X55" s="33"/>
    </row>
    <row r="56" spans="1:24" s="91" customFormat="1" x14ac:dyDescent="0.3">
      <c r="B56" s="101"/>
      <c r="C56" s="77"/>
      <c r="D56" s="77"/>
      <c r="E56" s="77"/>
      <c r="F56" s="6"/>
      <c r="G56" s="18"/>
      <c r="H56" s="18"/>
      <c r="R56" s="18"/>
      <c r="V56" s="6"/>
      <c r="W56" s="33"/>
      <c r="X56" s="33"/>
    </row>
    <row r="57" spans="1:24" s="91" customFormat="1" x14ac:dyDescent="0.3">
      <c r="B57" s="101"/>
      <c r="C57" s="77"/>
      <c r="D57" s="77"/>
      <c r="E57" s="77"/>
      <c r="F57" s="6"/>
      <c r="G57" s="18"/>
      <c r="H57" s="18"/>
      <c r="R57" s="18"/>
      <c r="V57" s="6"/>
      <c r="W57" s="33"/>
      <c r="X57" s="33"/>
    </row>
    <row r="58" spans="1:24" s="91" customFormat="1" x14ac:dyDescent="0.3">
      <c r="B58" s="101"/>
      <c r="C58" s="77"/>
      <c r="D58" s="77"/>
      <c r="E58" s="77"/>
      <c r="F58" s="6"/>
      <c r="G58" s="18"/>
      <c r="H58" s="18"/>
      <c r="R58" s="18"/>
      <c r="V58" s="6"/>
      <c r="W58" s="33"/>
      <c r="X58" s="33"/>
    </row>
    <row r="59" spans="1:24" s="91" customFormat="1" x14ac:dyDescent="0.3">
      <c r="B59" s="101"/>
      <c r="C59" s="77"/>
      <c r="D59" s="77"/>
      <c r="E59" s="77"/>
      <c r="F59" s="6"/>
      <c r="G59" s="18"/>
      <c r="H59" s="18"/>
      <c r="R59" s="18"/>
      <c r="V59" s="6"/>
      <c r="W59" s="33"/>
      <c r="X59" s="33"/>
    </row>
    <row r="60" spans="1:24" s="91" customFormat="1" x14ac:dyDescent="0.3">
      <c r="B60" s="101"/>
      <c r="C60" s="77"/>
      <c r="D60" s="77"/>
      <c r="E60" s="77"/>
      <c r="F60" s="6"/>
      <c r="G60" s="18"/>
      <c r="H60" s="18"/>
      <c r="R60" s="18"/>
      <c r="V60" s="6"/>
      <c r="W60" s="33"/>
      <c r="X60" s="33"/>
    </row>
    <row r="61" spans="1:24" s="91" customFormat="1" x14ac:dyDescent="0.3">
      <c r="A61" s="77"/>
      <c r="B61" s="77"/>
      <c r="C61" s="6"/>
      <c r="D61" s="18"/>
      <c r="E61" s="18"/>
      <c r="O61" s="18"/>
      <c r="S61" s="6"/>
      <c r="T61" s="33"/>
      <c r="U61" s="33"/>
    </row>
    <row r="62" spans="1:24" s="91" customFormat="1" x14ac:dyDescent="0.3">
      <c r="A62" s="77"/>
      <c r="B62" s="77"/>
      <c r="C62" s="6"/>
      <c r="D62" s="18"/>
      <c r="E62" s="18"/>
      <c r="O62" s="18"/>
      <c r="S62" s="6"/>
      <c r="T62" s="33"/>
      <c r="U62" s="33"/>
    </row>
    <row r="63" spans="1:24" s="91" customFormat="1" x14ac:dyDescent="0.3">
      <c r="A63" s="77"/>
      <c r="B63" s="77"/>
      <c r="C63" s="6"/>
      <c r="D63" s="18"/>
      <c r="E63" s="18"/>
      <c r="O63" s="18"/>
      <c r="S63" s="6"/>
      <c r="T63" s="33"/>
      <c r="U63" s="33"/>
    </row>
    <row r="64" spans="1:24" s="91" customFormat="1" x14ac:dyDescent="0.3">
      <c r="A64" s="77"/>
      <c r="B64" s="77"/>
      <c r="C64" s="6"/>
      <c r="D64" s="18"/>
      <c r="E64" s="18"/>
      <c r="O64" s="18"/>
      <c r="S64" s="6"/>
      <c r="T64" s="33"/>
      <c r="U64" s="33"/>
    </row>
    <row r="65" spans="1:24" s="91" customFormat="1" x14ac:dyDescent="0.3">
      <c r="A65" s="77"/>
      <c r="B65" s="77"/>
      <c r="C65" s="6"/>
      <c r="D65" s="18"/>
      <c r="E65" s="18"/>
      <c r="O65" s="18"/>
      <c r="S65" s="6"/>
      <c r="T65" s="33"/>
      <c r="U65" s="33"/>
    </row>
    <row r="66" spans="1:24" s="91" customFormat="1" x14ac:dyDescent="0.3">
      <c r="A66" s="77"/>
      <c r="B66" s="77"/>
      <c r="C66" s="6"/>
      <c r="D66" s="18"/>
      <c r="E66" s="18"/>
      <c r="O66" s="18"/>
      <c r="S66" s="6"/>
      <c r="T66" s="33"/>
      <c r="U66" s="33"/>
    </row>
    <row r="67" spans="1:24" s="91" customFormat="1" x14ac:dyDescent="0.3">
      <c r="A67" s="77"/>
      <c r="B67" s="77"/>
      <c r="C67" s="6"/>
      <c r="D67" s="18"/>
      <c r="E67" s="18"/>
      <c r="O67" s="18"/>
      <c r="S67" s="6"/>
      <c r="T67" s="33"/>
      <c r="U67" s="33"/>
    </row>
    <row r="68" spans="1:24" s="91" customFormat="1" x14ac:dyDescent="0.3">
      <c r="B68" s="102"/>
      <c r="C68" s="34"/>
      <c r="D68" s="77"/>
      <c r="E68" s="77"/>
      <c r="F68" s="6"/>
      <c r="G68" s="18"/>
      <c r="H68" s="18"/>
      <c r="R68" s="18"/>
      <c r="V68" s="6"/>
      <c r="W68" s="33"/>
      <c r="X68" s="33"/>
    </row>
    <row r="69" spans="1:24" s="91" customFormat="1" x14ac:dyDescent="0.3">
      <c r="B69" s="102"/>
      <c r="C69" s="34"/>
      <c r="D69" s="77"/>
      <c r="E69" s="77"/>
      <c r="F69" s="6"/>
      <c r="G69" s="18"/>
      <c r="H69" s="18"/>
      <c r="R69" s="18"/>
      <c r="V69" s="6"/>
      <c r="W69" s="33"/>
      <c r="X69" s="33"/>
    </row>
    <row r="70" spans="1:24" s="91" customFormat="1" x14ac:dyDescent="0.3">
      <c r="B70" s="102"/>
      <c r="C70" s="34"/>
      <c r="D70" s="77"/>
      <c r="E70" s="77"/>
      <c r="F70" s="6"/>
      <c r="G70" s="18"/>
      <c r="H70" s="18"/>
      <c r="R70" s="18"/>
      <c r="V70" s="6"/>
      <c r="W70" s="33"/>
      <c r="X70" s="33"/>
    </row>
    <row r="71" spans="1:24" s="91" customFormat="1" x14ac:dyDescent="0.3">
      <c r="B71" s="102"/>
      <c r="C71" s="34"/>
      <c r="D71" s="77"/>
      <c r="E71" s="77"/>
      <c r="F71" s="6"/>
      <c r="G71" s="18"/>
      <c r="H71" s="18"/>
      <c r="R71" s="18"/>
      <c r="V71" s="6"/>
      <c r="W71" s="33"/>
      <c r="X71" s="33"/>
    </row>
    <row r="72" spans="1:24" s="91" customFormat="1" x14ac:dyDescent="0.3">
      <c r="B72" s="102"/>
      <c r="C72" s="34"/>
      <c r="D72" s="77"/>
      <c r="E72" s="77"/>
      <c r="F72" s="6"/>
      <c r="G72" s="18"/>
      <c r="H72" s="18"/>
      <c r="R72" s="18"/>
      <c r="V72" s="6"/>
      <c r="W72" s="33"/>
      <c r="X72" s="33"/>
    </row>
    <row r="73" spans="1:24" s="91" customFormat="1" ht="22.8" customHeight="1" thickBot="1" x14ac:dyDescent="0.35">
      <c r="A73" s="201" t="s">
        <v>722</v>
      </c>
      <c r="B73" s="77"/>
      <c r="C73" s="77"/>
    </row>
    <row r="74" spans="1:24" s="91" customFormat="1" ht="28.2" customHeight="1" x14ac:dyDescent="0.3">
      <c r="A74" s="506" t="s">
        <v>587</v>
      </c>
      <c r="B74" s="505" t="s">
        <v>137</v>
      </c>
      <c r="C74" s="507" t="s">
        <v>133</v>
      </c>
    </row>
    <row r="75" spans="1:24" s="91" customFormat="1" ht="25.2" customHeight="1" x14ac:dyDescent="0.3">
      <c r="A75" s="508" t="s">
        <v>84</v>
      </c>
      <c r="B75" s="501">
        <f>F91</f>
        <v>2.1661529189782591E-3</v>
      </c>
      <c r="C75" s="509">
        <f>F93</f>
        <v>3.3180528731200809E-2</v>
      </c>
      <c r="U75" s="91" t="s">
        <v>102</v>
      </c>
    </row>
    <row r="76" spans="1:24" s="91" customFormat="1" ht="25.2" customHeight="1" thickBot="1" x14ac:dyDescent="0.35">
      <c r="A76" s="510" t="s">
        <v>86</v>
      </c>
      <c r="B76" s="511">
        <f>F92</f>
        <v>3.2232660366701138E-2</v>
      </c>
      <c r="C76" s="512">
        <f>F94</f>
        <v>3.3511082765480982E-2</v>
      </c>
    </row>
    <row r="77" spans="1:24" s="91" customFormat="1" ht="25.2" customHeight="1" thickBot="1" x14ac:dyDescent="0.35">
      <c r="A77" s="203"/>
      <c r="B77" s="115"/>
      <c r="C77" s="115"/>
    </row>
    <row r="78" spans="1:24" s="500" customFormat="1" ht="25.2" customHeight="1" x14ac:dyDescent="0.3">
      <c r="A78" s="513" t="s">
        <v>639</v>
      </c>
      <c r="B78" s="514" t="s">
        <v>623</v>
      </c>
      <c r="C78" s="515" t="s">
        <v>624</v>
      </c>
    </row>
    <row r="79" spans="1:24" s="91" customFormat="1" ht="25.2" customHeight="1" thickBot="1" x14ac:dyDescent="0.35">
      <c r="A79" s="510" t="s">
        <v>638</v>
      </c>
      <c r="B79" s="516">
        <f>SUM(B115:K115)/10</f>
        <v>145.24387583520661</v>
      </c>
      <c r="C79" s="517">
        <f>SUM(L115:U115)/10</f>
        <v>142.99570148047115</v>
      </c>
    </row>
    <row r="80" spans="1:24" s="500" customFormat="1" ht="15.6" customHeight="1" x14ac:dyDescent="0.3">
      <c r="A80" s="503"/>
      <c r="B80" s="499"/>
      <c r="C80" s="499"/>
    </row>
    <row r="81" spans="1:28" s="91" customFormat="1" ht="42" customHeight="1" x14ac:dyDescent="0.3">
      <c r="A81" s="685" t="s">
        <v>628</v>
      </c>
      <c r="B81" s="685"/>
      <c r="C81" s="685"/>
      <c r="D81" s="685"/>
      <c r="E81" s="685"/>
      <c r="F81" s="685"/>
      <c r="G81" s="685"/>
      <c r="H81" s="685"/>
      <c r="I81" s="685"/>
    </row>
    <row r="82" spans="1:28" s="91" customFormat="1" ht="25.2" customHeight="1" x14ac:dyDescent="0.3">
      <c r="A82" s="69"/>
      <c r="B82" s="115"/>
      <c r="C82" s="63"/>
      <c r="D82" s="69"/>
      <c r="E82" s="35"/>
      <c r="F82" s="35"/>
    </row>
    <row r="83" spans="1:28" s="91" customFormat="1" ht="25.2" customHeight="1" thickBot="1" x14ac:dyDescent="0.4">
      <c r="A83" s="95" t="s">
        <v>723</v>
      </c>
      <c r="B83" s="95"/>
      <c r="C83" s="95"/>
      <c r="D83" s="95"/>
      <c r="E83" s="35"/>
      <c r="F83" s="35"/>
      <c r="V83" s="91" t="s">
        <v>151</v>
      </c>
      <c r="W83" s="91" t="s">
        <v>152</v>
      </c>
    </row>
    <row r="84" spans="1:28" s="91" customFormat="1" ht="25.2" customHeight="1" x14ac:dyDescent="0.3">
      <c r="A84" s="506" t="s">
        <v>185</v>
      </c>
      <c r="B84" s="505">
        <v>1998</v>
      </c>
      <c r="C84" s="507">
        <v>2017</v>
      </c>
      <c r="D84" s="69"/>
      <c r="E84" s="35"/>
      <c r="F84" s="35"/>
    </row>
    <row r="85" spans="1:28" s="91" customFormat="1" ht="25.2" customHeight="1" x14ac:dyDescent="0.3">
      <c r="A85" s="518" t="s">
        <v>96</v>
      </c>
      <c r="B85" s="502">
        <f>B91/(B93+B91)</f>
        <v>0.60403294548897002</v>
      </c>
      <c r="C85" s="519">
        <f>C91/(C93+C91)</f>
        <v>0.47606071346459172</v>
      </c>
    </row>
    <row r="86" spans="1:28" s="91" customFormat="1" ht="25.2" customHeight="1" thickBot="1" x14ac:dyDescent="0.35">
      <c r="A86" s="520" t="s">
        <v>86</v>
      </c>
      <c r="B86" s="521">
        <f>B92/(B94+B92)</f>
        <v>0.55124986226656536</v>
      </c>
      <c r="C86" s="522">
        <f>C92/(C94+C92)</f>
        <v>0.54603932470587158</v>
      </c>
    </row>
    <row r="87" spans="1:28" s="91" customFormat="1" ht="25.2" customHeight="1" x14ac:dyDescent="0.3">
      <c r="B87" s="103"/>
      <c r="C87" s="103"/>
    </row>
    <row r="88" spans="1:28" s="91" customFormat="1" ht="25.2" customHeight="1" x14ac:dyDescent="0.3"/>
    <row r="89" spans="1:28" s="6" customFormat="1" ht="20.399999999999999" customHeight="1" thickBot="1" x14ac:dyDescent="0.35">
      <c r="A89" s="6" t="s">
        <v>595</v>
      </c>
    </row>
    <row r="90" spans="1:28" s="44" customFormat="1" ht="45.6" customHeight="1" x14ac:dyDescent="0.3">
      <c r="A90" s="523" t="s">
        <v>175</v>
      </c>
      <c r="B90" s="524" t="s">
        <v>202</v>
      </c>
      <c r="C90" s="524" t="s">
        <v>566</v>
      </c>
      <c r="D90" s="524" t="s">
        <v>590</v>
      </c>
      <c r="E90" s="524" t="s">
        <v>589</v>
      </c>
      <c r="F90" s="525" t="s">
        <v>588</v>
      </c>
      <c r="G90" s="529" t="s">
        <v>629</v>
      </c>
      <c r="H90" s="530" t="s">
        <v>630</v>
      </c>
    </row>
    <row r="91" spans="1:28" s="91" customFormat="1" x14ac:dyDescent="0.3">
      <c r="A91" s="489" t="s">
        <v>70</v>
      </c>
      <c r="B91" s="137">
        <f>SUM(B138:D138)/3</f>
        <v>134.06180215848977</v>
      </c>
      <c r="C91" s="152">
        <f>SUM(S138:U138)/3</f>
        <v>139.08505841672209</v>
      </c>
      <c r="D91" s="140">
        <f>(C91-B91)</f>
        <v>5.0232562582323226</v>
      </c>
      <c r="E91" s="501">
        <f>D91/B91</f>
        <v>3.7469705593646707E-2</v>
      </c>
      <c r="F91" s="528">
        <f>((C91/B91)^(1/17))-1</f>
        <v>2.1661529189782591E-3</v>
      </c>
      <c r="G91" s="532">
        <f>SUM(B115:K115)/10</f>
        <v>145.24387583520661</v>
      </c>
      <c r="H91" s="533">
        <f>SUM(L115:U115)/10</f>
        <v>142.99570148047115</v>
      </c>
      <c r="I91" s="44"/>
      <c r="J91" s="44"/>
      <c r="K91" s="538"/>
      <c r="L91" s="44"/>
      <c r="M91" s="116"/>
      <c r="N91" s="44"/>
      <c r="O91" s="114"/>
      <c r="P91" s="44"/>
      <c r="Q91" s="44"/>
      <c r="R91" s="114"/>
    </row>
    <row r="92" spans="1:28" s="91" customFormat="1" x14ac:dyDescent="0.3">
      <c r="A92" s="489" t="s">
        <v>71</v>
      </c>
      <c r="B92" s="137">
        <f>SUM(B139:D139)/3</f>
        <v>133.41775186713275</v>
      </c>
      <c r="C92" s="152">
        <f>SUM(S139:U139)/3</f>
        <v>228.78774333006834</v>
      </c>
      <c r="D92" s="140">
        <f>(C92-B92)</f>
        <v>95.369991462935587</v>
      </c>
      <c r="E92" s="501">
        <f>D92/B92</f>
        <v>0.71482235405909156</v>
      </c>
      <c r="F92" s="528">
        <f>((C92/B92)^(1/17))-1</f>
        <v>3.2232660366701138E-2</v>
      </c>
      <c r="G92" s="308"/>
      <c r="H92" s="381"/>
      <c r="M92" s="9"/>
      <c r="O92" s="11"/>
      <c r="R92" s="11"/>
    </row>
    <row r="93" spans="1:28" s="91" customFormat="1" x14ac:dyDescent="0.3">
      <c r="A93" s="489" t="s">
        <v>72</v>
      </c>
      <c r="B93" s="137">
        <f>SUM(B143:D143)/3</f>
        <v>87.882717854347518</v>
      </c>
      <c r="C93" s="152">
        <f>SUM(S143:U143)/3</f>
        <v>153.07317788157079</v>
      </c>
      <c r="D93" s="140">
        <f>(C93-B93)</f>
        <v>65.190460027223267</v>
      </c>
      <c r="E93" s="501">
        <f>D93/B93</f>
        <v>0.74178930304894208</v>
      </c>
      <c r="F93" s="528">
        <f>((C93/B93)^(1/17))-1</f>
        <v>3.3180528731200809E-2</v>
      </c>
      <c r="G93" s="532">
        <f>SUM(B116:K116)/10</f>
        <v>97.60682341327788</v>
      </c>
      <c r="H93" s="534">
        <f>SUM(L116:U116)/10</f>
        <v>136.01588257804227</v>
      </c>
      <c r="M93" s="9"/>
      <c r="O93" s="11"/>
      <c r="R93" s="11"/>
    </row>
    <row r="94" spans="1:28" s="48" customFormat="1" ht="15" thickBot="1" x14ac:dyDescent="0.35">
      <c r="A94" s="491" t="s">
        <v>73</v>
      </c>
      <c r="B94" s="526">
        <f>SUM(B144:D144)/3</f>
        <v>108.60997639126735</v>
      </c>
      <c r="C94" s="527">
        <f>SUM(S144:U144)/3</f>
        <v>190.20725021422751</v>
      </c>
      <c r="D94" s="516">
        <f>(C94-B94)</f>
        <v>81.597273822960162</v>
      </c>
      <c r="E94" s="511">
        <f>D94/B94</f>
        <v>0.75128709658315407</v>
      </c>
      <c r="F94" s="531">
        <f>((C94/B94)^(1/17))-1</f>
        <v>3.3511082765480982E-2</v>
      </c>
      <c r="G94" s="304"/>
      <c r="H94" s="382"/>
      <c r="I94" s="91"/>
      <c r="J94" s="91"/>
      <c r="K94" s="91"/>
      <c r="L94" s="91"/>
      <c r="M94" s="9"/>
      <c r="N94" s="91"/>
      <c r="O94" s="11"/>
      <c r="P94" s="91"/>
      <c r="Q94" s="91"/>
      <c r="R94" s="11"/>
      <c r="S94" s="58"/>
      <c r="Z94" s="59"/>
    </row>
    <row r="95" spans="1:28" s="91" customFormat="1" x14ac:dyDescent="0.3">
      <c r="B95" s="374"/>
      <c r="C95" s="374"/>
      <c r="D95" s="500"/>
      <c r="E95" s="500"/>
      <c r="U95" s="10"/>
      <c r="AB95" s="22"/>
    </row>
    <row r="96" spans="1:28" s="91" customFormat="1" ht="18" x14ac:dyDescent="0.35">
      <c r="A96" s="95" t="s">
        <v>220</v>
      </c>
      <c r="U96" s="10"/>
      <c r="AB96" s="22"/>
    </row>
    <row r="97" spans="1:28" s="500" customFormat="1" x14ac:dyDescent="0.3">
      <c r="A97" s="539" t="s">
        <v>637</v>
      </c>
      <c r="U97" s="10"/>
      <c r="AB97" s="22"/>
    </row>
    <row r="98" spans="1:28" s="91" customFormat="1" ht="13.2" customHeight="1" x14ac:dyDescent="0.3">
      <c r="A98" s="45" t="s">
        <v>176</v>
      </c>
      <c r="U98" s="10"/>
      <c r="AB98" s="22"/>
    </row>
    <row r="99" spans="1:28" s="91" customFormat="1" x14ac:dyDescent="0.3"/>
    <row r="100" spans="1:28" s="91" customFormat="1" x14ac:dyDescent="0.3"/>
    <row r="101" spans="1:28" s="91" customFormat="1" x14ac:dyDescent="0.3"/>
    <row r="102" spans="1:28" s="91" customFormat="1" x14ac:dyDescent="0.3"/>
    <row r="103" spans="1:28" s="91" customFormat="1" x14ac:dyDescent="0.3"/>
    <row r="104" spans="1:28" s="91" customFormat="1" x14ac:dyDescent="0.3"/>
    <row r="105" spans="1:28" s="91" customFormat="1" x14ac:dyDescent="0.3"/>
    <row r="106" spans="1:28" s="91" customFormat="1" x14ac:dyDescent="0.3"/>
    <row r="107" spans="1:28" s="91" customFormat="1" x14ac:dyDescent="0.3"/>
    <row r="108" spans="1:28" s="91" customFormat="1" x14ac:dyDescent="0.3"/>
    <row r="109" spans="1:28" s="91" customFormat="1" x14ac:dyDescent="0.3"/>
    <row r="110" spans="1:28" s="91" customFormat="1" x14ac:dyDescent="0.3"/>
    <row r="111" spans="1:28" s="91" customFormat="1" x14ac:dyDescent="0.3"/>
    <row r="112" spans="1:28" s="91" customFormat="1" x14ac:dyDescent="0.3"/>
    <row r="113" spans="1:96" s="91" customFormat="1" x14ac:dyDescent="0.3"/>
    <row r="114" spans="1:96" s="110" customFormat="1" x14ac:dyDescent="0.3">
      <c r="A114" s="109" t="s">
        <v>48</v>
      </c>
      <c r="B114" s="105" t="s">
        <v>0</v>
      </c>
      <c r="C114" s="105" t="s">
        <v>1</v>
      </c>
      <c r="D114" s="105" t="s">
        <v>2</v>
      </c>
      <c r="E114" s="105" t="s">
        <v>3</v>
      </c>
      <c r="F114" s="105" t="s">
        <v>4</v>
      </c>
      <c r="G114" s="105" t="s">
        <v>5</v>
      </c>
      <c r="H114" s="105" t="s">
        <v>6</v>
      </c>
      <c r="I114" s="105" t="s">
        <v>7</v>
      </c>
      <c r="J114" s="105" t="s">
        <v>8</v>
      </c>
      <c r="K114" s="105" t="s">
        <v>9</v>
      </c>
      <c r="L114" s="105" t="s">
        <v>10</v>
      </c>
      <c r="M114" s="105" t="s">
        <v>11</v>
      </c>
      <c r="N114" s="105" t="s">
        <v>12</v>
      </c>
      <c r="O114" s="105" t="s">
        <v>13</v>
      </c>
      <c r="P114" s="105" t="s">
        <v>14</v>
      </c>
      <c r="Q114" s="105" t="s">
        <v>15</v>
      </c>
      <c r="R114" s="105" t="s">
        <v>16</v>
      </c>
      <c r="S114" s="105" t="s">
        <v>17</v>
      </c>
      <c r="T114" s="105" t="s">
        <v>18</v>
      </c>
      <c r="U114" s="105" t="s">
        <v>574</v>
      </c>
    </row>
    <row r="115" spans="1:96" s="91" customFormat="1" x14ac:dyDescent="0.3">
      <c r="A115" s="31" t="s">
        <v>200</v>
      </c>
      <c r="B115" s="151">
        <f>B138</f>
        <v>128.67737789203085</v>
      </c>
      <c r="C115" s="151">
        <f t="shared" ref="C115:T115" si="3">C138</f>
        <v>131.22051282051282</v>
      </c>
      <c r="D115" s="151">
        <f t="shared" si="3"/>
        <v>142.28751576292561</v>
      </c>
      <c r="E115" s="151">
        <f t="shared" si="3"/>
        <v>142.60450563204006</v>
      </c>
      <c r="F115" s="151">
        <f t="shared" si="3"/>
        <v>145.08975979772441</v>
      </c>
      <c r="G115" s="151">
        <f t="shared" si="3"/>
        <v>138.14727722772278</v>
      </c>
      <c r="H115" s="151">
        <f t="shared" si="3"/>
        <v>139.53291925465837</v>
      </c>
      <c r="I115" s="151">
        <f t="shared" si="3"/>
        <v>147.78181818181818</v>
      </c>
      <c r="J115" s="151">
        <f t="shared" si="3"/>
        <v>183.03937947494035</v>
      </c>
      <c r="K115" s="151">
        <f t="shared" si="3"/>
        <v>154.05769230769229</v>
      </c>
      <c r="L115" s="151">
        <f t="shared" si="3"/>
        <v>156.14473684210526</v>
      </c>
      <c r="M115" s="151">
        <f t="shared" si="3"/>
        <v>132.69693769799366</v>
      </c>
      <c r="N115" s="151">
        <f t="shared" si="3"/>
        <v>144.94282848545637</v>
      </c>
      <c r="O115" s="151">
        <f t="shared" si="3"/>
        <v>154.97906755470981</v>
      </c>
      <c r="P115" s="151">
        <f t="shared" si="3"/>
        <v>144.82526115859451</v>
      </c>
      <c r="Q115" s="151">
        <f t="shared" si="3"/>
        <v>139.63342566943678</v>
      </c>
      <c r="R115" s="151">
        <f t="shared" si="3"/>
        <v>139.47958214624884</v>
      </c>
      <c r="S115" s="151">
        <f t="shared" si="3"/>
        <v>133.66399999999999</v>
      </c>
      <c r="T115" s="151">
        <f t="shared" si="3"/>
        <v>136.16889312977099</v>
      </c>
      <c r="U115" s="151">
        <f t="shared" ref="U115" si="4">U138</f>
        <v>147.42228212039532</v>
      </c>
    </row>
    <row r="116" spans="1:96" s="91" customFormat="1" x14ac:dyDescent="0.3">
      <c r="A116" s="31" t="s">
        <v>201</v>
      </c>
      <c r="B116" s="151">
        <f>B143</f>
        <v>83.763496143958875</v>
      </c>
      <c r="C116" s="151">
        <f t="shared" ref="C116:T116" si="5">C143</f>
        <v>83.88717948717948</v>
      </c>
      <c r="D116" s="151">
        <f t="shared" si="5"/>
        <v>95.997477931904172</v>
      </c>
      <c r="E116" s="151">
        <f t="shared" si="5"/>
        <v>94.608260325406746</v>
      </c>
      <c r="F116" s="151">
        <f t="shared" si="5"/>
        <v>91.266750948166873</v>
      </c>
      <c r="G116" s="151">
        <f t="shared" si="5"/>
        <v>95.384900990099013</v>
      </c>
      <c r="H116" s="151">
        <f t="shared" si="5"/>
        <v>98.619875776397507</v>
      </c>
      <c r="I116" s="151">
        <f t="shared" si="5"/>
        <v>110.10545454545455</v>
      </c>
      <c r="J116" s="151">
        <f t="shared" si="5"/>
        <v>109.03579952267303</v>
      </c>
      <c r="K116" s="151">
        <f t="shared" si="5"/>
        <v>113.39903846153845</v>
      </c>
      <c r="L116" s="151">
        <f t="shared" si="5"/>
        <v>120.45504385964912</v>
      </c>
      <c r="M116" s="151">
        <f t="shared" si="5"/>
        <v>107.39176346356916</v>
      </c>
      <c r="N116" s="151">
        <f t="shared" si="5"/>
        <v>122.89769307923771</v>
      </c>
      <c r="O116" s="151">
        <f t="shared" si="5"/>
        <v>134.08277830637488</v>
      </c>
      <c r="P116" s="151">
        <f t="shared" si="5"/>
        <v>139.49382716049382</v>
      </c>
      <c r="Q116" s="151">
        <f t="shared" si="5"/>
        <v>137.73499538319484</v>
      </c>
      <c r="R116" s="151">
        <f t="shared" si="5"/>
        <v>138.88319088319088</v>
      </c>
      <c r="S116" s="151">
        <f t="shared" si="5"/>
        <v>153.08799999999999</v>
      </c>
      <c r="T116" s="151">
        <f t="shared" si="5"/>
        <v>149.20610687022901</v>
      </c>
      <c r="U116" s="151">
        <f t="shared" ref="U116" si="6">U143</f>
        <v>156.92542677448336</v>
      </c>
    </row>
    <row r="117" spans="1:96" s="2" customFormat="1" ht="12" customHeight="1" x14ac:dyDescent="0.3">
      <c r="A117" s="4"/>
      <c r="B117" s="91"/>
      <c r="C117" s="91"/>
      <c r="D117" s="91"/>
      <c r="E117" s="91"/>
      <c r="F117" s="91"/>
      <c r="G117" s="91"/>
      <c r="H117" s="91"/>
      <c r="I117" s="91"/>
      <c r="J117" s="91"/>
      <c r="K117" s="91"/>
      <c r="L117" s="91"/>
      <c r="M117" s="91"/>
      <c r="N117" s="91"/>
      <c r="O117" s="91"/>
      <c r="P117" s="91"/>
      <c r="Q117" s="91"/>
      <c r="R117" s="91"/>
      <c r="S117" s="91"/>
      <c r="T117" s="91"/>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row>
    <row r="118" spans="1:96" s="4" customFormat="1" ht="12" customHeight="1" x14ac:dyDescent="0.3">
      <c r="A118" s="4" t="s">
        <v>177</v>
      </c>
      <c r="B118" s="91"/>
      <c r="C118" s="91"/>
      <c r="D118" s="91"/>
      <c r="E118" s="91"/>
      <c r="F118" s="91"/>
      <c r="G118" s="91"/>
      <c r="H118" s="91"/>
      <c r="I118" s="91"/>
      <c r="J118" s="91"/>
      <c r="K118" s="91"/>
      <c r="L118" s="91"/>
      <c r="M118" s="91"/>
      <c r="N118" s="91"/>
      <c r="O118" s="91"/>
      <c r="P118" s="91"/>
      <c r="Q118" s="91"/>
      <c r="R118" s="91"/>
      <c r="S118" s="91"/>
      <c r="T118" s="91"/>
    </row>
    <row r="119" spans="1:96" s="2" customFormat="1" x14ac:dyDescent="0.3">
      <c r="A119" s="4"/>
      <c r="B119" s="91"/>
      <c r="C119" s="91"/>
      <c r="D119" s="91"/>
      <c r="E119" s="91"/>
      <c r="F119" s="91"/>
      <c r="G119" s="91"/>
      <c r="H119" s="91"/>
      <c r="I119" s="91"/>
      <c r="J119" s="91"/>
      <c r="K119" s="91"/>
      <c r="L119" s="91"/>
      <c r="M119" s="91"/>
      <c r="N119" s="91"/>
      <c r="O119" s="91"/>
      <c r="P119" s="91"/>
      <c r="Q119" s="91"/>
      <c r="R119" s="91"/>
      <c r="S119" s="91"/>
      <c r="T119" s="91"/>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row>
    <row r="120" spans="1:96" s="91" customFormat="1" x14ac:dyDescent="0.3">
      <c r="A120" s="4"/>
      <c r="W120" s="537" t="s">
        <v>635</v>
      </c>
    </row>
    <row r="121" spans="1:96" s="91" customFormat="1" x14ac:dyDescent="0.3">
      <c r="A121" s="4"/>
      <c r="U121" s="504"/>
    </row>
    <row r="122" spans="1:96" s="91" customFormat="1" x14ac:dyDescent="0.3">
      <c r="A122" s="4"/>
    </row>
    <row r="123" spans="1:96" s="91" customFormat="1" x14ac:dyDescent="0.3">
      <c r="A123" s="4"/>
    </row>
    <row r="124" spans="1:96" s="91" customFormat="1" x14ac:dyDescent="0.3">
      <c r="A124" s="4"/>
    </row>
    <row r="125" spans="1:96" s="91" customFormat="1" x14ac:dyDescent="0.3">
      <c r="A125" s="4"/>
    </row>
    <row r="126" spans="1:96" s="91" customFormat="1" x14ac:dyDescent="0.3">
      <c r="A126" s="4"/>
    </row>
    <row r="127" spans="1:96" s="91" customFormat="1" x14ac:dyDescent="0.3">
      <c r="A127" s="4"/>
    </row>
    <row r="128" spans="1:96" s="91" customFormat="1" x14ac:dyDescent="0.3">
      <c r="A128" s="4"/>
    </row>
    <row r="129" spans="1:96" s="91" customFormat="1" x14ac:dyDescent="0.3">
      <c r="A129" s="4"/>
    </row>
    <row r="130" spans="1:96" s="91" customFormat="1" x14ac:dyDescent="0.3">
      <c r="A130" s="4"/>
    </row>
    <row r="131" spans="1:96" s="91" customFormat="1" x14ac:dyDescent="0.3">
      <c r="A131" s="4"/>
    </row>
    <row r="132" spans="1:96" s="91" customFormat="1" x14ac:dyDescent="0.3">
      <c r="A132" s="4"/>
    </row>
    <row r="133" spans="1:96" s="91" customFormat="1" x14ac:dyDescent="0.3">
      <c r="A133" s="4"/>
    </row>
    <row r="134" spans="1:96" s="91" customFormat="1" x14ac:dyDescent="0.3">
      <c r="A134" s="4"/>
    </row>
    <row r="135" spans="1:96" s="500" customFormat="1" x14ac:dyDescent="0.3">
      <c r="A135" s="4"/>
    </row>
    <row r="136" spans="1:96" s="91" customFormat="1" x14ac:dyDescent="0.3">
      <c r="A136" s="4" t="s">
        <v>636</v>
      </c>
    </row>
    <row r="137" spans="1:96" s="106" customFormat="1" x14ac:dyDescent="0.3">
      <c r="A137" s="104" t="s">
        <v>204</v>
      </c>
      <c r="B137" s="206" t="s">
        <v>0</v>
      </c>
      <c r="C137" s="105" t="s">
        <v>1</v>
      </c>
      <c r="D137" s="105" t="s">
        <v>2</v>
      </c>
      <c r="E137" s="105" t="s">
        <v>3</v>
      </c>
      <c r="F137" s="105" t="s">
        <v>4</v>
      </c>
      <c r="G137" s="105" t="s">
        <v>5</v>
      </c>
      <c r="H137" s="105" t="s">
        <v>6</v>
      </c>
      <c r="I137" s="105" t="s">
        <v>7</v>
      </c>
      <c r="J137" s="105" t="s">
        <v>8</v>
      </c>
      <c r="K137" s="105" t="s">
        <v>9</v>
      </c>
      <c r="L137" s="105" t="s">
        <v>10</v>
      </c>
      <c r="M137" s="105" t="s">
        <v>11</v>
      </c>
      <c r="N137" s="105" t="s">
        <v>12</v>
      </c>
      <c r="O137" s="105" t="s">
        <v>13</v>
      </c>
      <c r="P137" s="105" t="s">
        <v>14</v>
      </c>
      <c r="Q137" s="105" t="s">
        <v>15</v>
      </c>
      <c r="R137" s="105" t="s">
        <v>16</v>
      </c>
      <c r="S137" s="105" t="s">
        <v>17</v>
      </c>
      <c r="T137" s="105" t="s">
        <v>18</v>
      </c>
      <c r="U137" s="185">
        <v>2017</v>
      </c>
      <c r="V137" s="427"/>
      <c r="W137" s="427"/>
      <c r="X137" s="427"/>
      <c r="Y137" s="427"/>
      <c r="Z137" s="427"/>
      <c r="AA137" s="427"/>
      <c r="AB137" s="427"/>
      <c r="AC137" s="427"/>
      <c r="AD137" s="427"/>
      <c r="AE137" s="427"/>
      <c r="AF137" s="427"/>
      <c r="AG137" s="427"/>
      <c r="AH137" s="427"/>
      <c r="AI137" s="427"/>
      <c r="AJ137" s="427"/>
      <c r="AK137" s="427"/>
      <c r="AL137" s="427"/>
      <c r="AM137" s="427"/>
      <c r="AN137" s="427"/>
      <c r="AO137" s="427"/>
      <c r="AP137" s="427"/>
      <c r="AQ137" s="427"/>
      <c r="AR137" s="427"/>
      <c r="AS137" s="427"/>
      <c r="AT137" s="427"/>
      <c r="AU137" s="427"/>
      <c r="AV137" s="427"/>
      <c r="AW137" s="427"/>
      <c r="AX137" s="427"/>
      <c r="AY137" s="427"/>
      <c r="AZ137" s="427"/>
      <c r="BA137" s="427"/>
      <c r="BB137" s="427"/>
      <c r="BC137" s="427"/>
      <c r="BD137" s="427"/>
      <c r="BE137" s="427"/>
      <c r="BF137" s="427"/>
      <c r="BG137" s="427"/>
      <c r="BH137" s="427"/>
      <c r="BI137" s="427"/>
      <c r="BJ137" s="427"/>
      <c r="BK137" s="427"/>
      <c r="BL137" s="427"/>
      <c r="BM137" s="427"/>
      <c r="BN137" s="427"/>
      <c r="BO137" s="427"/>
      <c r="BP137" s="427"/>
      <c r="BQ137" s="427"/>
      <c r="BR137" s="427"/>
      <c r="BS137" s="427"/>
      <c r="BT137" s="427"/>
      <c r="BU137" s="427"/>
      <c r="BV137" s="427"/>
      <c r="BW137" s="427"/>
      <c r="BX137" s="427"/>
      <c r="BY137" s="427"/>
      <c r="BZ137" s="427"/>
      <c r="CA137" s="427"/>
      <c r="CB137" s="427"/>
    </row>
    <row r="138" spans="1:96" s="91" customFormat="1" x14ac:dyDescent="0.3">
      <c r="A138" s="31" t="s">
        <v>165</v>
      </c>
      <c r="B138" s="418">
        <f t="shared" ref="B138:U138" si="7">(B177/1000)/B200</f>
        <v>128.67737789203085</v>
      </c>
      <c r="C138" s="345">
        <f t="shared" si="7"/>
        <v>131.22051282051282</v>
      </c>
      <c r="D138" s="345">
        <f t="shared" si="7"/>
        <v>142.28751576292561</v>
      </c>
      <c r="E138" s="345">
        <f t="shared" si="7"/>
        <v>142.60450563204006</v>
      </c>
      <c r="F138" s="345">
        <f t="shared" si="7"/>
        <v>145.08975979772441</v>
      </c>
      <c r="G138" s="345">
        <f t="shared" si="7"/>
        <v>138.14727722772278</v>
      </c>
      <c r="H138" s="345">
        <f t="shared" si="7"/>
        <v>139.53291925465837</v>
      </c>
      <c r="I138" s="345">
        <f t="shared" si="7"/>
        <v>147.78181818181818</v>
      </c>
      <c r="J138" s="345">
        <f t="shared" si="7"/>
        <v>183.03937947494035</v>
      </c>
      <c r="K138" s="345">
        <f t="shared" si="7"/>
        <v>154.05769230769229</v>
      </c>
      <c r="L138" s="345">
        <f t="shared" si="7"/>
        <v>156.14473684210526</v>
      </c>
      <c r="M138" s="345">
        <f t="shared" si="7"/>
        <v>132.69693769799366</v>
      </c>
      <c r="N138" s="345">
        <f t="shared" si="7"/>
        <v>144.94282848545637</v>
      </c>
      <c r="O138" s="345">
        <f t="shared" si="7"/>
        <v>154.97906755470981</v>
      </c>
      <c r="P138" s="345">
        <f t="shared" si="7"/>
        <v>144.82526115859451</v>
      </c>
      <c r="Q138" s="345">
        <f t="shared" si="7"/>
        <v>139.63342566943678</v>
      </c>
      <c r="R138" s="345">
        <f t="shared" si="7"/>
        <v>139.47958214624884</v>
      </c>
      <c r="S138" s="345">
        <f t="shared" si="7"/>
        <v>133.66399999999999</v>
      </c>
      <c r="T138" s="345">
        <f t="shared" si="7"/>
        <v>136.16889312977099</v>
      </c>
      <c r="U138" s="424">
        <f t="shared" si="7"/>
        <v>147.42228212039532</v>
      </c>
      <c r="V138" s="427"/>
      <c r="W138" s="427"/>
      <c r="X138" s="427"/>
      <c r="Y138" s="427"/>
      <c r="Z138" s="427"/>
      <c r="AA138" s="427"/>
      <c r="AB138" s="427"/>
      <c r="AC138" s="427"/>
      <c r="AD138" s="427"/>
      <c r="AE138" s="427"/>
      <c r="AF138" s="427"/>
      <c r="AG138" s="427"/>
      <c r="AH138" s="427"/>
      <c r="AI138" s="427"/>
      <c r="AJ138" s="427"/>
      <c r="AK138" s="427"/>
      <c r="AL138" s="427"/>
      <c r="AM138" s="427"/>
      <c r="AN138" s="427"/>
      <c r="AO138" s="427"/>
      <c r="AP138" s="427"/>
      <c r="AQ138" s="427"/>
      <c r="AR138" s="427"/>
      <c r="AS138" s="427"/>
      <c r="AT138" s="427"/>
      <c r="AU138" s="427"/>
      <c r="AV138" s="427"/>
      <c r="AW138" s="427"/>
      <c r="AX138" s="427"/>
      <c r="AY138" s="427"/>
      <c r="AZ138" s="427"/>
      <c r="BA138" s="427"/>
      <c r="BB138" s="427"/>
      <c r="BC138" s="427"/>
      <c r="BD138" s="427"/>
      <c r="BE138" s="427"/>
      <c r="BF138" s="427"/>
      <c r="BG138" s="427"/>
      <c r="BH138" s="427"/>
      <c r="BI138" s="427"/>
      <c r="BJ138" s="427"/>
      <c r="BK138" s="427"/>
      <c r="BL138" s="427"/>
      <c r="BM138" s="427"/>
      <c r="BN138" s="427"/>
      <c r="BO138" s="427"/>
      <c r="BP138" s="427"/>
      <c r="BQ138" s="427"/>
      <c r="BR138" s="427"/>
      <c r="BS138" s="427"/>
      <c r="BT138" s="427"/>
      <c r="BU138" s="427"/>
      <c r="BV138" s="427"/>
      <c r="BW138" s="427"/>
      <c r="BX138" s="427"/>
      <c r="BY138" s="427"/>
      <c r="BZ138" s="427"/>
      <c r="CA138" s="427"/>
      <c r="CB138" s="427"/>
    </row>
    <row r="139" spans="1:96" s="91" customFormat="1" x14ac:dyDescent="0.3">
      <c r="A139" s="31" t="s">
        <v>166</v>
      </c>
      <c r="B139" s="418">
        <f t="shared" ref="B139:U139" si="8">(B178/1000)/B198</f>
        <v>127.30602409638556</v>
      </c>
      <c r="C139" s="345">
        <f t="shared" si="8"/>
        <v>133.44309927360777</v>
      </c>
      <c r="D139" s="345">
        <f t="shared" si="8"/>
        <v>139.50413223140495</v>
      </c>
      <c r="E139" s="345">
        <f t="shared" si="8"/>
        <v>151.46745562130178</v>
      </c>
      <c r="F139" s="345">
        <f t="shared" si="8"/>
        <v>168.72815533980582</v>
      </c>
      <c r="G139" s="345">
        <f t="shared" si="8"/>
        <v>167.94939759036146</v>
      </c>
      <c r="H139" s="345">
        <f t="shared" si="8"/>
        <v>175.89377289377288</v>
      </c>
      <c r="I139" s="345">
        <f t="shared" si="8"/>
        <v>188.06957547169813</v>
      </c>
      <c r="J139" s="345">
        <f t="shared" si="8"/>
        <v>214.33602771362587</v>
      </c>
      <c r="K139" s="345">
        <f t="shared" si="8"/>
        <v>197.3271676300578</v>
      </c>
      <c r="L139" s="345">
        <f t="shared" si="8"/>
        <v>187.09621289662232</v>
      </c>
      <c r="M139" s="345">
        <f t="shared" si="8"/>
        <v>164.56972111553785</v>
      </c>
      <c r="N139" s="345">
        <f t="shared" si="8"/>
        <v>180.84807692307692</v>
      </c>
      <c r="O139" s="345">
        <f t="shared" si="8"/>
        <v>183.59009009009006</v>
      </c>
      <c r="P139" s="345">
        <f t="shared" si="8"/>
        <v>189.66212534059946</v>
      </c>
      <c r="Q139" s="345">
        <f t="shared" si="8"/>
        <v>196.89828982898288</v>
      </c>
      <c r="R139" s="345">
        <f t="shared" si="8"/>
        <v>210.91533396048919</v>
      </c>
      <c r="S139" s="345">
        <f t="shared" si="8"/>
        <v>220.52199999999999</v>
      </c>
      <c r="T139" s="345">
        <f t="shared" si="8"/>
        <v>229.27176015473887</v>
      </c>
      <c r="U139" s="424">
        <f t="shared" si="8"/>
        <v>236.56946983546618</v>
      </c>
      <c r="V139" s="427"/>
      <c r="W139" s="427"/>
      <c r="X139" s="427"/>
      <c r="Y139" s="427"/>
      <c r="Z139" s="427"/>
      <c r="AA139" s="427"/>
      <c r="AB139" s="427"/>
      <c r="AC139" s="427"/>
      <c r="AD139" s="427"/>
      <c r="AE139" s="427"/>
      <c r="AF139" s="427"/>
      <c r="AG139" s="427"/>
      <c r="AH139" s="427"/>
      <c r="AI139" s="427"/>
      <c r="AJ139" s="427"/>
      <c r="AK139" s="427"/>
      <c r="AL139" s="427"/>
      <c r="AM139" s="427"/>
      <c r="AN139" s="427"/>
      <c r="AO139" s="427"/>
      <c r="AP139" s="427"/>
      <c r="AQ139" s="427"/>
      <c r="AR139" s="427"/>
      <c r="AS139" s="427"/>
      <c r="AT139" s="427"/>
      <c r="AU139" s="427"/>
      <c r="AV139" s="427"/>
      <c r="AW139" s="427"/>
      <c r="AX139" s="427"/>
      <c r="AY139" s="427"/>
      <c r="AZ139" s="427"/>
      <c r="BA139" s="427"/>
      <c r="BB139" s="427"/>
      <c r="BC139" s="427"/>
      <c r="BD139" s="427"/>
      <c r="BE139" s="427"/>
      <c r="BF139" s="427"/>
      <c r="BG139" s="427"/>
      <c r="BH139" s="427"/>
      <c r="BI139" s="427"/>
      <c r="BJ139" s="427"/>
      <c r="BK139" s="427"/>
      <c r="BL139" s="427"/>
      <c r="BM139" s="427"/>
      <c r="BN139" s="427"/>
      <c r="BO139" s="427"/>
      <c r="BP139" s="427"/>
      <c r="BQ139" s="427"/>
      <c r="BR139" s="427"/>
      <c r="BS139" s="427"/>
      <c r="BT139" s="427"/>
      <c r="BU139" s="427"/>
      <c r="BV139" s="427"/>
      <c r="BW139" s="427"/>
      <c r="BX139" s="427"/>
      <c r="BY139" s="427"/>
      <c r="BZ139" s="427"/>
      <c r="CA139" s="427"/>
      <c r="CB139" s="427"/>
    </row>
    <row r="140" spans="1:96" s="149" customFormat="1" ht="13.2" customHeight="1" x14ac:dyDescent="0.3">
      <c r="A140" s="154" t="s">
        <v>34</v>
      </c>
      <c r="B140" s="421">
        <f>B138-B139</f>
        <v>1.371353795645291</v>
      </c>
      <c r="C140" s="422">
        <f t="shared" ref="C140:T140" si="9">C138-C139</f>
        <v>-2.222586453094948</v>
      </c>
      <c r="D140" s="422">
        <f t="shared" si="9"/>
        <v>2.7833835315206557</v>
      </c>
      <c r="E140" s="422">
        <f t="shared" si="9"/>
        <v>-8.8629499892617218</v>
      </c>
      <c r="F140" s="422">
        <f t="shared" si="9"/>
        <v>-23.638395542081412</v>
      </c>
      <c r="G140" s="422">
        <f t="shared" si="9"/>
        <v>-29.802120362638675</v>
      </c>
      <c r="H140" s="422">
        <f t="shared" si="9"/>
        <v>-36.360853639114509</v>
      </c>
      <c r="I140" s="422">
        <f t="shared" si="9"/>
        <v>-40.287757289879949</v>
      </c>
      <c r="J140" s="422">
        <f t="shared" si="9"/>
        <v>-31.29664823868552</v>
      </c>
      <c r="K140" s="422">
        <f t="shared" si="9"/>
        <v>-43.269475322365508</v>
      </c>
      <c r="L140" s="422">
        <f t="shared" si="9"/>
        <v>-30.951476054517059</v>
      </c>
      <c r="M140" s="422">
        <f t="shared" si="9"/>
        <v>-31.872783417544184</v>
      </c>
      <c r="N140" s="422">
        <f t="shared" si="9"/>
        <v>-35.905248437620543</v>
      </c>
      <c r="O140" s="422">
        <f t="shared" si="9"/>
        <v>-28.611022535380243</v>
      </c>
      <c r="P140" s="422">
        <f t="shared" si="9"/>
        <v>-44.836864182004945</v>
      </c>
      <c r="Q140" s="422">
        <f t="shared" si="9"/>
        <v>-57.264864159546107</v>
      </c>
      <c r="R140" s="422">
        <f t="shared" si="9"/>
        <v>-71.435751814240348</v>
      </c>
      <c r="S140" s="422">
        <f t="shared" si="9"/>
        <v>-86.858000000000004</v>
      </c>
      <c r="T140" s="422">
        <f t="shared" si="9"/>
        <v>-93.102867024967878</v>
      </c>
      <c r="U140" s="425">
        <f>U138-U139</f>
        <v>-89.147187715070856</v>
      </c>
      <c r="V140" s="428"/>
      <c r="W140" s="428"/>
      <c r="X140" s="428"/>
      <c r="Y140" s="428"/>
      <c r="Z140" s="428"/>
      <c r="AA140" s="428"/>
      <c r="AB140" s="428"/>
      <c r="AC140" s="428"/>
      <c r="AD140" s="428"/>
      <c r="AE140" s="428"/>
      <c r="AF140" s="428"/>
      <c r="AG140" s="428"/>
      <c r="AH140" s="428"/>
      <c r="AI140" s="428"/>
      <c r="AJ140" s="428"/>
      <c r="AK140" s="428"/>
      <c r="AL140" s="428"/>
      <c r="AM140" s="428"/>
      <c r="AN140" s="428"/>
      <c r="AO140" s="428"/>
      <c r="AP140" s="428"/>
      <c r="AQ140" s="428"/>
      <c r="AR140" s="428"/>
      <c r="AS140" s="428"/>
      <c r="AT140" s="428"/>
      <c r="AU140" s="428"/>
      <c r="AV140" s="428"/>
      <c r="AW140" s="428"/>
      <c r="AX140" s="428"/>
      <c r="AY140" s="428"/>
      <c r="AZ140" s="428"/>
      <c r="BA140" s="428"/>
      <c r="BB140" s="428"/>
      <c r="BC140" s="428"/>
      <c r="BD140" s="428"/>
      <c r="BE140" s="428"/>
      <c r="BF140" s="428"/>
      <c r="BG140" s="428"/>
      <c r="BH140" s="428"/>
      <c r="BI140" s="428"/>
      <c r="BJ140" s="428"/>
      <c r="BK140" s="428"/>
      <c r="BL140" s="428"/>
      <c r="BM140" s="428"/>
      <c r="BN140" s="428"/>
      <c r="BO140" s="428"/>
      <c r="BP140" s="428"/>
      <c r="BQ140" s="428"/>
      <c r="BR140" s="428"/>
      <c r="BS140" s="428"/>
      <c r="BT140" s="428"/>
      <c r="BU140" s="428"/>
      <c r="BV140" s="428"/>
      <c r="BW140" s="428"/>
      <c r="BX140" s="428"/>
      <c r="BY140" s="428"/>
      <c r="BZ140" s="428"/>
      <c r="CA140" s="428"/>
      <c r="CB140" s="428"/>
      <c r="CC140" s="148"/>
      <c r="CD140" s="148"/>
      <c r="CE140" s="148"/>
      <c r="CF140" s="148"/>
      <c r="CG140" s="148"/>
      <c r="CH140" s="148"/>
      <c r="CI140" s="148"/>
      <c r="CJ140" s="148"/>
      <c r="CK140" s="148"/>
      <c r="CL140" s="148"/>
      <c r="CM140" s="148"/>
      <c r="CN140" s="148"/>
      <c r="CO140" s="148"/>
      <c r="CP140" s="148"/>
      <c r="CQ140" s="148"/>
    </row>
    <row r="141" spans="1:96" s="4" customFormat="1" ht="12" customHeight="1" x14ac:dyDescent="0.3">
      <c r="B141" s="419"/>
      <c r="C141" s="21"/>
      <c r="D141" s="21"/>
      <c r="E141" s="21"/>
      <c r="F141" s="21"/>
      <c r="G141" s="21"/>
      <c r="H141" s="21"/>
      <c r="I141" s="21"/>
      <c r="J141" s="21"/>
      <c r="K141" s="21"/>
      <c r="L141" s="21"/>
      <c r="M141" s="21"/>
      <c r="N141" s="21"/>
      <c r="O141" s="21"/>
      <c r="P141" s="21"/>
      <c r="Q141" s="21"/>
      <c r="R141" s="21"/>
      <c r="S141" s="21"/>
      <c r="T141" s="21"/>
      <c r="V141" s="429"/>
      <c r="W141" s="429"/>
      <c r="X141" s="429"/>
      <c r="Y141" s="429"/>
      <c r="Z141" s="429"/>
      <c r="AA141" s="429"/>
      <c r="AB141" s="429"/>
      <c r="AC141" s="429"/>
      <c r="AD141" s="429"/>
      <c r="AE141" s="429"/>
      <c r="AF141" s="429"/>
      <c r="AG141" s="429"/>
      <c r="AH141" s="429"/>
      <c r="AI141" s="429"/>
      <c r="AJ141" s="429"/>
      <c r="AK141" s="429"/>
      <c r="AL141" s="429"/>
      <c r="AM141" s="429"/>
      <c r="AN141" s="429"/>
      <c r="AO141" s="429"/>
      <c r="AP141" s="429"/>
      <c r="AQ141" s="429"/>
      <c r="AR141" s="429"/>
      <c r="AS141" s="429"/>
      <c r="AT141" s="429"/>
      <c r="AU141" s="429"/>
      <c r="AV141" s="429"/>
      <c r="AW141" s="429"/>
      <c r="AX141" s="429"/>
      <c r="AY141" s="429"/>
      <c r="AZ141" s="429"/>
      <c r="BA141" s="429"/>
      <c r="BB141" s="429"/>
      <c r="BC141" s="429"/>
      <c r="BD141" s="429"/>
      <c r="BE141" s="429"/>
      <c r="BF141" s="429"/>
      <c r="BG141" s="429"/>
      <c r="BH141" s="429"/>
      <c r="BI141" s="429"/>
      <c r="BJ141" s="429"/>
      <c r="BK141" s="429"/>
      <c r="BL141" s="429"/>
      <c r="BM141" s="429"/>
      <c r="BN141" s="429"/>
      <c r="BO141" s="429"/>
      <c r="BP141" s="429"/>
      <c r="BQ141" s="429"/>
      <c r="BR141" s="429"/>
      <c r="BS141" s="429"/>
      <c r="BT141" s="429"/>
      <c r="BU141" s="429"/>
      <c r="BV141" s="429"/>
      <c r="BW141" s="429"/>
      <c r="BX141" s="429"/>
      <c r="BY141" s="429"/>
      <c r="BZ141" s="429"/>
      <c r="CA141" s="429"/>
      <c r="CB141" s="429"/>
    </row>
    <row r="142" spans="1:96" s="108" customFormat="1" x14ac:dyDescent="0.3">
      <c r="A142" s="104" t="s">
        <v>203</v>
      </c>
      <c r="B142" s="206" t="s">
        <v>0</v>
      </c>
      <c r="C142" s="105" t="s">
        <v>1</v>
      </c>
      <c r="D142" s="105" t="s">
        <v>2</v>
      </c>
      <c r="E142" s="105" t="s">
        <v>3</v>
      </c>
      <c r="F142" s="105" t="s">
        <v>4</v>
      </c>
      <c r="G142" s="105" t="s">
        <v>5</v>
      </c>
      <c r="H142" s="105" t="s">
        <v>6</v>
      </c>
      <c r="I142" s="105" t="s">
        <v>7</v>
      </c>
      <c r="J142" s="105" t="s">
        <v>8</v>
      </c>
      <c r="K142" s="105" t="s">
        <v>9</v>
      </c>
      <c r="L142" s="105" t="s">
        <v>10</v>
      </c>
      <c r="M142" s="105" t="s">
        <v>11</v>
      </c>
      <c r="N142" s="105" t="s">
        <v>12</v>
      </c>
      <c r="O142" s="105" t="s">
        <v>13</v>
      </c>
      <c r="P142" s="105" t="s">
        <v>14</v>
      </c>
      <c r="Q142" s="105" t="s">
        <v>15</v>
      </c>
      <c r="R142" s="105" t="s">
        <v>16</v>
      </c>
      <c r="S142" s="105" t="s">
        <v>17</v>
      </c>
      <c r="T142" s="105" t="s">
        <v>18</v>
      </c>
      <c r="U142" s="185">
        <v>2017</v>
      </c>
      <c r="V142" s="429"/>
      <c r="W142" s="429"/>
      <c r="X142" s="429"/>
      <c r="Y142" s="429"/>
      <c r="Z142" s="429"/>
      <c r="AA142" s="429"/>
      <c r="AB142" s="429"/>
      <c r="AC142" s="429"/>
      <c r="AD142" s="429"/>
      <c r="AE142" s="429"/>
      <c r="AF142" s="429"/>
      <c r="AG142" s="429"/>
      <c r="AH142" s="429"/>
      <c r="AI142" s="429"/>
      <c r="AJ142" s="429"/>
      <c r="AK142" s="429"/>
      <c r="AL142" s="429"/>
      <c r="AM142" s="429"/>
      <c r="AN142" s="429"/>
      <c r="AO142" s="429"/>
      <c r="AP142" s="429"/>
      <c r="AQ142" s="429"/>
      <c r="AR142" s="429"/>
      <c r="AS142" s="429"/>
      <c r="AT142" s="429"/>
      <c r="AU142" s="429"/>
      <c r="AV142" s="429"/>
      <c r="AW142" s="429"/>
      <c r="AX142" s="429"/>
      <c r="AY142" s="429"/>
      <c r="AZ142" s="429"/>
      <c r="BA142" s="429"/>
      <c r="BB142" s="429"/>
      <c r="BC142" s="429"/>
      <c r="BD142" s="429"/>
      <c r="BE142" s="429"/>
      <c r="BF142" s="429"/>
      <c r="BG142" s="429"/>
      <c r="BH142" s="429"/>
      <c r="BI142" s="429"/>
      <c r="BJ142" s="429"/>
      <c r="BK142" s="429"/>
      <c r="BL142" s="429"/>
      <c r="BM142" s="429"/>
      <c r="BN142" s="429"/>
      <c r="BO142" s="429"/>
      <c r="BP142" s="429"/>
      <c r="BQ142" s="429"/>
      <c r="BR142" s="429"/>
      <c r="BS142" s="429"/>
      <c r="BT142" s="429"/>
      <c r="BU142" s="429"/>
      <c r="BV142" s="429"/>
      <c r="BW142" s="429"/>
      <c r="BX142" s="429"/>
      <c r="BY142" s="429"/>
      <c r="BZ142" s="429"/>
      <c r="CA142" s="429"/>
      <c r="CB142" s="429"/>
      <c r="CC142" s="107"/>
      <c r="CD142" s="107"/>
      <c r="CE142" s="107"/>
      <c r="CF142" s="107"/>
      <c r="CG142" s="107"/>
      <c r="CH142" s="107"/>
      <c r="CI142" s="107"/>
      <c r="CJ142" s="107"/>
      <c r="CK142" s="107"/>
      <c r="CL142" s="107"/>
      <c r="CM142" s="107"/>
      <c r="CN142" s="107"/>
      <c r="CO142" s="107"/>
      <c r="CP142" s="107"/>
      <c r="CQ142" s="107"/>
      <c r="CR142" s="107"/>
    </row>
    <row r="143" spans="1:96" s="91" customFormat="1" x14ac:dyDescent="0.3">
      <c r="A143" s="31" t="s">
        <v>169</v>
      </c>
      <c r="B143" s="420">
        <f t="shared" ref="B143:U143" si="10">(B183/1000)/B200</f>
        <v>83.763496143958875</v>
      </c>
      <c r="C143" s="344">
        <f t="shared" si="10"/>
        <v>83.88717948717948</v>
      </c>
      <c r="D143" s="344">
        <f t="shared" si="10"/>
        <v>95.997477931904172</v>
      </c>
      <c r="E143" s="344">
        <f t="shared" si="10"/>
        <v>94.608260325406746</v>
      </c>
      <c r="F143" s="344">
        <f t="shared" si="10"/>
        <v>91.266750948166873</v>
      </c>
      <c r="G143" s="344">
        <f t="shared" si="10"/>
        <v>95.384900990099013</v>
      </c>
      <c r="H143" s="344">
        <f t="shared" si="10"/>
        <v>98.619875776397507</v>
      </c>
      <c r="I143" s="344">
        <f t="shared" si="10"/>
        <v>110.10545454545455</v>
      </c>
      <c r="J143" s="344">
        <f t="shared" si="10"/>
        <v>109.03579952267303</v>
      </c>
      <c r="K143" s="344">
        <f t="shared" si="10"/>
        <v>113.39903846153845</v>
      </c>
      <c r="L143" s="344">
        <f t="shared" si="10"/>
        <v>120.45504385964912</v>
      </c>
      <c r="M143" s="344">
        <f t="shared" si="10"/>
        <v>107.39176346356916</v>
      </c>
      <c r="N143" s="344">
        <f t="shared" si="10"/>
        <v>122.89769307923771</v>
      </c>
      <c r="O143" s="344">
        <f t="shared" si="10"/>
        <v>134.08277830637488</v>
      </c>
      <c r="P143" s="344">
        <f t="shared" si="10"/>
        <v>139.49382716049382</v>
      </c>
      <c r="Q143" s="344">
        <f t="shared" si="10"/>
        <v>137.73499538319484</v>
      </c>
      <c r="R143" s="344">
        <f t="shared" si="10"/>
        <v>138.88319088319088</v>
      </c>
      <c r="S143" s="344">
        <f t="shared" si="10"/>
        <v>153.08799999999999</v>
      </c>
      <c r="T143" s="344">
        <f t="shared" si="10"/>
        <v>149.20610687022901</v>
      </c>
      <c r="U143" s="426">
        <f t="shared" si="10"/>
        <v>156.92542677448336</v>
      </c>
      <c r="V143" s="427"/>
      <c r="W143" s="427"/>
      <c r="X143" s="427"/>
      <c r="Y143" s="427"/>
      <c r="Z143" s="427"/>
      <c r="AA143" s="427"/>
      <c r="AB143" s="427"/>
      <c r="AC143" s="427"/>
      <c r="AD143" s="427"/>
      <c r="AE143" s="427"/>
      <c r="AF143" s="427"/>
      <c r="AG143" s="427"/>
      <c r="AH143" s="427"/>
      <c r="AI143" s="427"/>
      <c r="AJ143" s="427"/>
      <c r="AK143" s="427"/>
      <c r="AL143" s="427"/>
      <c r="AM143" s="427"/>
      <c r="AN143" s="427"/>
      <c r="AO143" s="427"/>
      <c r="AP143" s="427"/>
      <c r="AQ143" s="427"/>
      <c r="AR143" s="427"/>
      <c r="AS143" s="427"/>
      <c r="AT143" s="427"/>
      <c r="AU143" s="427"/>
      <c r="AV143" s="427"/>
      <c r="AW143" s="427"/>
      <c r="AX143" s="427"/>
      <c r="AY143" s="427"/>
      <c r="AZ143" s="427"/>
      <c r="BA143" s="427"/>
      <c r="BB143" s="427"/>
      <c r="BC143" s="427"/>
      <c r="BD143" s="427"/>
      <c r="BE143" s="427"/>
      <c r="BF143" s="427"/>
      <c r="BG143" s="427"/>
      <c r="BH143" s="427"/>
      <c r="BI143" s="427"/>
      <c r="BJ143" s="427"/>
      <c r="BK143" s="427"/>
      <c r="BL143" s="427"/>
      <c r="BM143" s="427"/>
      <c r="BN143" s="427"/>
      <c r="BO143" s="427"/>
      <c r="BP143" s="427"/>
      <c r="BQ143" s="427"/>
      <c r="BR143" s="427"/>
      <c r="BS143" s="427"/>
      <c r="BT143" s="427"/>
      <c r="BU143" s="427"/>
      <c r="BV143" s="427"/>
      <c r="BW143" s="427"/>
      <c r="BX143" s="427"/>
      <c r="BY143" s="427"/>
      <c r="BZ143" s="427"/>
      <c r="CA143" s="427"/>
      <c r="CB143" s="427"/>
    </row>
    <row r="144" spans="1:96" s="91" customFormat="1" x14ac:dyDescent="0.3">
      <c r="A144" s="31" t="s">
        <v>170</v>
      </c>
      <c r="B144" s="420">
        <f t="shared" ref="B144:U144" si="11">(B184/1000)/B198</f>
        <v>97.607228915662645</v>
      </c>
      <c r="C144" s="344">
        <f t="shared" si="11"/>
        <v>104.07748184019371</v>
      </c>
      <c r="D144" s="344">
        <f t="shared" si="11"/>
        <v>124.14521841794569</v>
      </c>
      <c r="E144" s="344">
        <f t="shared" si="11"/>
        <v>124.35266272189349</v>
      </c>
      <c r="F144" s="344">
        <f t="shared" si="11"/>
        <v>118.33495145631066</v>
      </c>
      <c r="G144" s="344">
        <f t="shared" si="11"/>
        <v>120.74457831325302</v>
      </c>
      <c r="H144" s="344">
        <f t="shared" si="11"/>
        <v>132.7032967032967</v>
      </c>
      <c r="I144" s="344">
        <f t="shared" si="11"/>
        <v>144.8183962264151</v>
      </c>
      <c r="J144" s="344">
        <f t="shared" si="11"/>
        <v>158.2459584295612</v>
      </c>
      <c r="K144" s="344">
        <f t="shared" si="11"/>
        <v>162.33526011560693</v>
      </c>
      <c r="L144" s="344">
        <f t="shared" si="11"/>
        <v>164.92323439099283</v>
      </c>
      <c r="M144" s="344">
        <f t="shared" si="11"/>
        <v>146.85358565737053</v>
      </c>
      <c r="N144" s="344">
        <f t="shared" si="11"/>
        <v>167.85480769230767</v>
      </c>
      <c r="O144" s="344">
        <f t="shared" si="11"/>
        <v>175.11891891891892</v>
      </c>
      <c r="P144" s="344">
        <f t="shared" si="11"/>
        <v>179.19164396003632</v>
      </c>
      <c r="Q144" s="344">
        <f t="shared" si="11"/>
        <v>180.58145814581459</v>
      </c>
      <c r="R144" s="344">
        <f t="shared" si="11"/>
        <v>179.66509877704613</v>
      </c>
      <c r="S144" s="344">
        <f t="shared" si="11"/>
        <v>184.04</v>
      </c>
      <c r="T144" s="344">
        <f t="shared" si="11"/>
        <v>188.25725338491293</v>
      </c>
      <c r="U144" s="426">
        <f t="shared" si="11"/>
        <v>198.32449725776965</v>
      </c>
    </row>
    <row r="145" spans="1:96" s="150" customFormat="1" ht="12" customHeight="1" x14ac:dyDescent="0.3">
      <c r="A145" s="423" t="s">
        <v>34</v>
      </c>
      <c r="B145" s="421">
        <f t="shared" ref="B145:T145" si="12">B143-B144</f>
        <v>-13.84373277170377</v>
      </c>
      <c r="C145" s="422">
        <f t="shared" si="12"/>
        <v>-20.190302353014232</v>
      </c>
      <c r="D145" s="422">
        <f t="shared" si="12"/>
        <v>-28.147740486041513</v>
      </c>
      <c r="E145" s="422">
        <f t="shared" si="12"/>
        <v>-29.744402396486748</v>
      </c>
      <c r="F145" s="422">
        <f t="shared" si="12"/>
        <v>-27.068200508143789</v>
      </c>
      <c r="G145" s="422">
        <f t="shared" si="12"/>
        <v>-25.359677323154003</v>
      </c>
      <c r="H145" s="422">
        <f t="shared" si="12"/>
        <v>-34.083420926899194</v>
      </c>
      <c r="I145" s="422">
        <f t="shared" si="12"/>
        <v>-34.712941680960554</v>
      </c>
      <c r="J145" s="422">
        <f t="shared" si="12"/>
        <v>-49.210158906888168</v>
      </c>
      <c r="K145" s="422">
        <f t="shared" si="12"/>
        <v>-48.936221654068476</v>
      </c>
      <c r="L145" s="422">
        <f t="shared" si="12"/>
        <v>-44.468190531343708</v>
      </c>
      <c r="M145" s="422">
        <f t="shared" si="12"/>
        <v>-39.461822193801368</v>
      </c>
      <c r="N145" s="422">
        <f t="shared" si="12"/>
        <v>-44.957114613069962</v>
      </c>
      <c r="O145" s="422">
        <f t="shared" si="12"/>
        <v>-41.036140612544045</v>
      </c>
      <c r="P145" s="422">
        <f t="shared" si="12"/>
        <v>-39.697816799542494</v>
      </c>
      <c r="Q145" s="422">
        <f t="shared" si="12"/>
        <v>-42.846462762619751</v>
      </c>
      <c r="R145" s="422">
        <f t="shared" si="12"/>
        <v>-40.781907893855248</v>
      </c>
      <c r="S145" s="422">
        <f t="shared" si="12"/>
        <v>-30.951999999999998</v>
      </c>
      <c r="T145" s="422">
        <f t="shared" si="12"/>
        <v>-39.051146514683921</v>
      </c>
      <c r="U145" s="425">
        <f>U143-U144</f>
        <v>-41.399070483286295</v>
      </c>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8"/>
      <c r="CM145" s="28"/>
      <c r="CN145" s="28"/>
      <c r="CO145" s="28"/>
      <c r="CP145" s="28"/>
      <c r="CQ145" s="28"/>
      <c r="CR145" s="28"/>
    </row>
    <row r="146" spans="1:96" s="2" customFormat="1" x14ac:dyDescent="0.3">
      <c r="A146" s="91"/>
      <c r="B146" s="91"/>
      <c r="C146" s="91"/>
      <c r="D146" s="91"/>
      <c r="E146" s="91"/>
      <c r="F146" s="91"/>
      <c r="G146" s="91"/>
      <c r="H146" s="91"/>
      <c r="I146" s="91"/>
      <c r="J146" s="91"/>
      <c r="K146" s="91"/>
      <c r="L146" s="91"/>
      <c r="M146" s="91"/>
      <c r="N146" s="91"/>
      <c r="O146" s="91"/>
      <c r="P146" s="91"/>
      <c r="Q146" s="91"/>
      <c r="R146" s="91"/>
      <c r="S146" s="91"/>
      <c r="T146" s="91"/>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row>
    <row r="147" spans="1:96" s="2" customFormat="1" ht="31.2" customHeight="1" x14ac:dyDescent="0.3">
      <c r="A147" s="241"/>
      <c r="B147" s="241"/>
      <c r="C147" s="241"/>
      <c r="D147" s="241"/>
      <c r="E147" s="241"/>
      <c r="F147" s="241"/>
      <c r="G147" s="241"/>
      <c r="H147" s="91"/>
      <c r="I147" s="91"/>
      <c r="J147" s="91"/>
      <c r="K147" s="91"/>
      <c r="L147" s="91"/>
      <c r="M147" s="91"/>
      <c r="N147" s="91"/>
      <c r="O147" s="91"/>
      <c r="P147" s="91"/>
      <c r="Q147" s="91"/>
      <c r="R147" s="91"/>
      <c r="S147" s="91"/>
      <c r="T147" s="91"/>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row>
    <row r="148" spans="1:96" s="91" customFormat="1" ht="18" x14ac:dyDescent="0.35">
      <c r="A148" s="95" t="s">
        <v>285</v>
      </c>
    </row>
    <row r="149" spans="1:96" s="91" customFormat="1" x14ac:dyDescent="0.3">
      <c r="A149" s="91" t="s">
        <v>279</v>
      </c>
    </row>
    <row r="150" spans="1:96" s="91" customFormat="1" x14ac:dyDescent="0.3">
      <c r="A150" s="92" t="s">
        <v>275</v>
      </c>
    </row>
    <row r="151" spans="1:96" s="91" customFormat="1" ht="28.8" x14ac:dyDescent="0.3">
      <c r="A151" s="189" t="s">
        <v>284</v>
      </c>
      <c r="B151" s="191">
        <v>2006</v>
      </c>
      <c r="C151" s="112">
        <v>2007</v>
      </c>
      <c r="D151" s="112">
        <v>2008</v>
      </c>
      <c r="E151" s="112">
        <v>2009</v>
      </c>
      <c r="F151" s="112">
        <v>2010</v>
      </c>
      <c r="G151" s="112">
        <v>2011</v>
      </c>
      <c r="H151" s="112">
        <v>2012</v>
      </c>
      <c r="I151" s="112">
        <v>2013</v>
      </c>
      <c r="J151" s="112">
        <v>2014</v>
      </c>
      <c r="K151" s="172">
        <v>2015</v>
      </c>
      <c r="L151" s="6"/>
      <c r="M151" s="6"/>
      <c r="N151" s="6"/>
      <c r="O151" s="6"/>
      <c r="P151" s="6"/>
      <c r="Q151" s="6"/>
      <c r="R151" s="6"/>
      <c r="S151" s="6"/>
      <c r="T151" s="6"/>
    </row>
    <row r="152" spans="1:96" s="91" customFormat="1" x14ac:dyDescent="0.3">
      <c r="A152" s="173" t="s">
        <v>89</v>
      </c>
      <c r="B152" s="198">
        <v>82</v>
      </c>
      <c r="C152" s="60">
        <v>75</v>
      </c>
      <c r="D152" s="60">
        <v>78</v>
      </c>
      <c r="E152" s="60">
        <v>76</v>
      </c>
      <c r="F152" s="60">
        <v>76</v>
      </c>
      <c r="G152" s="60">
        <v>78</v>
      </c>
      <c r="H152" s="60">
        <v>72</v>
      </c>
      <c r="I152" s="60">
        <v>69</v>
      </c>
      <c r="J152" s="60">
        <v>66</v>
      </c>
      <c r="K152" s="186">
        <v>61</v>
      </c>
      <c r="L152" s="48"/>
      <c r="M152" s="48"/>
      <c r="N152" s="48"/>
      <c r="O152" s="48"/>
      <c r="P152" s="48"/>
      <c r="Q152" s="48"/>
      <c r="R152" s="48"/>
      <c r="S152" s="48"/>
      <c r="T152" s="48"/>
    </row>
    <row r="153" spans="1:96" s="91" customFormat="1" x14ac:dyDescent="0.3">
      <c r="A153" s="70" t="s">
        <v>90</v>
      </c>
      <c r="B153" s="199">
        <v>122</v>
      </c>
      <c r="C153" s="61">
        <v>126</v>
      </c>
      <c r="D153" s="61">
        <v>122</v>
      </c>
      <c r="E153" s="61">
        <v>117</v>
      </c>
      <c r="F153" s="61">
        <v>114</v>
      </c>
      <c r="G153" s="61">
        <v>110</v>
      </c>
      <c r="H153" s="61">
        <v>108</v>
      </c>
      <c r="I153" s="61">
        <v>108</v>
      </c>
      <c r="J153" s="61">
        <v>109</v>
      </c>
      <c r="K153" s="197">
        <v>112</v>
      </c>
    </row>
    <row r="154" spans="1:96" s="6" customFormat="1" x14ac:dyDescent="0.3">
      <c r="A154" s="70" t="s">
        <v>91</v>
      </c>
      <c r="B154" s="199">
        <v>87</v>
      </c>
      <c r="C154" s="61">
        <v>84</v>
      </c>
      <c r="D154" s="61">
        <v>81</v>
      </c>
      <c r="E154" s="61">
        <v>78</v>
      </c>
      <c r="F154" s="61">
        <v>76</v>
      </c>
      <c r="G154" s="61">
        <v>75</v>
      </c>
      <c r="H154" s="61">
        <v>74</v>
      </c>
      <c r="I154" s="61">
        <v>75</v>
      </c>
      <c r="J154" s="61">
        <v>76</v>
      </c>
      <c r="K154" s="197">
        <v>76</v>
      </c>
      <c r="L154" s="91"/>
      <c r="M154" s="91"/>
      <c r="N154" s="91"/>
      <c r="O154" s="91"/>
      <c r="P154" s="91"/>
      <c r="Q154" s="91"/>
      <c r="R154" s="91"/>
      <c r="S154" s="91"/>
      <c r="T154" s="91"/>
    </row>
    <row r="155" spans="1:96" s="91" customFormat="1" x14ac:dyDescent="0.3">
      <c r="A155" s="70" t="s">
        <v>92</v>
      </c>
      <c r="B155" s="199">
        <v>101</v>
      </c>
      <c r="C155" s="61">
        <v>104</v>
      </c>
      <c r="D155" s="61">
        <v>105</v>
      </c>
      <c r="E155" s="61">
        <v>99</v>
      </c>
      <c r="F155" s="61">
        <v>96</v>
      </c>
      <c r="G155" s="61">
        <v>98</v>
      </c>
      <c r="H155" s="61">
        <v>105</v>
      </c>
      <c r="I155" s="61">
        <v>105</v>
      </c>
      <c r="J155" s="61">
        <v>107</v>
      </c>
      <c r="K155" s="197">
        <v>105</v>
      </c>
    </row>
    <row r="156" spans="1:96" s="91" customFormat="1" x14ac:dyDescent="0.3">
      <c r="A156" s="144" t="s">
        <v>93</v>
      </c>
      <c r="B156" s="200">
        <v>75</v>
      </c>
      <c r="C156" s="192">
        <v>73</v>
      </c>
      <c r="D156" s="192">
        <v>79</v>
      </c>
      <c r="E156" s="192">
        <v>87</v>
      </c>
      <c r="F156" s="192">
        <v>91</v>
      </c>
      <c r="G156" s="192">
        <v>95</v>
      </c>
      <c r="H156" s="192">
        <v>103</v>
      </c>
      <c r="I156" s="192">
        <v>106</v>
      </c>
      <c r="J156" s="192">
        <v>101</v>
      </c>
      <c r="K156" s="193">
        <v>98</v>
      </c>
    </row>
    <row r="157" spans="1:96" s="91" customFormat="1" x14ac:dyDescent="0.3"/>
    <row r="158" spans="1:96" s="91" customFormat="1" x14ac:dyDescent="0.3"/>
    <row r="159" spans="1:96" s="91" customFormat="1" x14ac:dyDescent="0.3"/>
    <row r="160" spans="1:96" s="91" customFormat="1" x14ac:dyDescent="0.3"/>
    <row r="161" spans="1:21" s="91" customFormat="1" x14ac:dyDescent="0.3"/>
    <row r="162" spans="1:21" s="91" customFormat="1" x14ac:dyDescent="0.3"/>
    <row r="163" spans="1:21" s="91" customFormat="1" x14ac:dyDescent="0.3"/>
    <row r="164" spans="1:21" s="91" customFormat="1" x14ac:dyDescent="0.3"/>
    <row r="165" spans="1:21" s="91" customFormat="1" x14ac:dyDescent="0.3"/>
    <row r="166" spans="1:21" s="91" customFormat="1" x14ac:dyDescent="0.3"/>
    <row r="167" spans="1:21" s="91" customFormat="1" x14ac:dyDescent="0.3"/>
    <row r="168" spans="1:21" s="91" customFormat="1" x14ac:dyDescent="0.3"/>
    <row r="169" spans="1:21" s="91" customFormat="1" x14ac:dyDescent="0.3"/>
    <row r="170" spans="1:21" s="91" customFormat="1" x14ac:dyDescent="0.3"/>
    <row r="171" spans="1:21" s="91" customFormat="1" x14ac:dyDescent="0.3"/>
    <row r="172" spans="1:21" s="91" customFormat="1" x14ac:dyDescent="0.3"/>
    <row r="173" spans="1:21" s="91" customFormat="1" x14ac:dyDescent="0.3"/>
    <row r="174" spans="1:21" s="91" customFormat="1" x14ac:dyDescent="0.3"/>
    <row r="175" spans="1:21" s="91" customFormat="1" ht="18" x14ac:dyDescent="0.35">
      <c r="A175" s="204" t="s">
        <v>740</v>
      </c>
    </row>
    <row r="176" spans="1:21" s="106" customFormat="1" x14ac:dyDescent="0.3">
      <c r="A176" s="104" t="s">
        <v>186</v>
      </c>
      <c r="B176" s="105">
        <v>1998</v>
      </c>
      <c r="C176" s="105" t="s">
        <v>1</v>
      </c>
      <c r="D176" s="105" t="s">
        <v>2</v>
      </c>
      <c r="E176" s="105" t="s">
        <v>3</v>
      </c>
      <c r="F176" s="105" t="s">
        <v>4</v>
      </c>
      <c r="G176" s="105" t="s">
        <v>5</v>
      </c>
      <c r="H176" s="105" t="s">
        <v>6</v>
      </c>
      <c r="I176" s="105" t="s">
        <v>7</v>
      </c>
      <c r="J176" s="105" t="s">
        <v>8</v>
      </c>
      <c r="K176" s="105" t="s">
        <v>9</v>
      </c>
      <c r="L176" s="105" t="s">
        <v>10</v>
      </c>
      <c r="M176" s="105" t="s">
        <v>11</v>
      </c>
      <c r="N176" s="105" t="s">
        <v>12</v>
      </c>
      <c r="O176" s="105" t="s">
        <v>13</v>
      </c>
      <c r="P176" s="105" t="s">
        <v>14</v>
      </c>
      <c r="Q176" s="105" t="s">
        <v>15</v>
      </c>
      <c r="R176" s="105" t="s">
        <v>16</v>
      </c>
      <c r="S176" s="105" t="s">
        <v>17</v>
      </c>
      <c r="T176" s="105" t="s">
        <v>18</v>
      </c>
      <c r="U176" s="105">
        <v>2017</v>
      </c>
    </row>
    <row r="177" spans="1:96" s="91" customFormat="1" x14ac:dyDescent="0.3">
      <c r="A177" s="31" t="s">
        <v>165</v>
      </c>
      <c r="B177" s="629">
        <v>100111</v>
      </c>
      <c r="C177" s="629">
        <v>102352</v>
      </c>
      <c r="D177" s="629">
        <v>112834</v>
      </c>
      <c r="E177" s="629">
        <v>113941</v>
      </c>
      <c r="F177" s="629">
        <v>114766</v>
      </c>
      <c r="G177" s="629">
        <v>111623</v>
      </c>
      <c r="H177" s="629">
        <v>112324</v>
      </c>
      <c r="I177" s="629">
        <v>121920</v>
      </c>
      <c r="J177" s="629">
        <v>153387</v>
      </c>
      <c r="K177" s="629">
        <v>128176</v>
      </c>
      <c r="L177" s="629">
        <v>142404</v>
      </c>
      <c r="M177" s="629">
        <v>125664</v>
      </c>
      <c r="N177" s="629">
        <v>144508</v>
      </c>
      <c r="O177" s="629">
        <v>162883</v>
      </c>
      <c r="P177" s="629">
        <v>152501</v>
      </c>
      <c r="Q177" s="629">
        <v>151223</v>
      </c>
      <c r="R177" s="629">
        <v>146872</v>
      </c>
      <c r="S177" s="629">
        <v>133664</v>
      </c>
      <c r="T177" s="629">
        <v>142705</v>
      </c>
      <c r="U177" s="629">
        <v>164081</v>
      </c>
      <c r="W177" s="92" t="s">
        <v>275</v>
      </c>
      <c r="X177" s="91" t="s">
        <v>565</v>
      </c>
    </row>
    <row r="178" spans="1:96" s="91" customFormat="1" x14ac:dyDescent="0.3">
      <c r="A178" s="31" t="s">
        <v>166</v>
      </c>
      <c r="B178" s="630">
        <v>105664</v>
      </c>
      <c r="C178" s="630">
        <v>110224</v>
      </c>
      <c r="D178" s="630">
        <v>118160</v>
      </c>
      <c r="E178" s="630">
        <v>127990</v>
      </c>
      <c r="F178" s="630">
        <v>139032</v>
      </c>
      <c r="G178" s="630">
        <v>139398</v>
      </c>
      <c r="H178" s="630">
        <v>144057</v>
      </c>
      <c r="I178" s="630">
        <v>159483</v>
      </c>
      <c r="J178" s="630">
        <v>185615</v>
      </c>
      <c r="K178" s="630">
        <v>170688</v>
      </c>
      <c r="L178" s="630">
        <v>182793</v>
      </c>
      <c r="M178" s="630">
        <v>165228</v>
      </c>
      <c r="N178" s="630">
        <v>188082</v>
      </c>
      <c r="O178" s="630">
        <v>203785</v>
      </c>
      <c r="P178" s="630">
        <v>208818</v>
      </c>
      <c r="Q178" s="630">
        <v>218754</v>
      </c>
      <c r="R178" s="630">
        <v>224203</v>
      </c>
      <c r="S178" s="630">
        <v>220522</v>
      </c>
      <c r="T178" s="630">
        <v>237067</v>
      </c>
      <c r="U178" s="630">
        <v>258807</v>
      </c>
      <c r="W178" s="92" t="s">
        <v>275</v>
      </c>
      <c r="X178" s="409" t="s">
        <v>565</v>
      </c>
    </row>
    <row r="179" spans="1:96" s="39" customFormat="1" ht="13.2" customHeight="1" x14ac:dyDescent="0.3">
      <c r="A179" s="37" t="s">
        <v>34</v>
      </c>
      <c r="B179" s="98">
        <f>B177-B178</f>
        <v>-5553</v>
      </c>
      <c r="C179" s="98">
        <f t="shared" ref="C179:T179" si="13">C177-C178</f>
        <v>-7872</v>
      </c>
      <c r="D179" s="98">
        <f t="shared" si="13"/>
        <v>-5326</v>
      </c>
      <c r="E179" s="98">
        <f t="shared" si="13"/>
        <v>-14049</v>
      </c>
      <c r="F179" s="98">
        <f t="shared" si="13"/>
        <v>-24266</v>
      </c>
      <c r="G179" s="98">
        <f t="shared" si="13"/>
        <v>-27775</v>
      </c>
      <c r="H179" s="98">
        <f t="shared" si="13"/>
        <v>-31733</v>
      </c>
      <c r="I179" s="98">
        <f t="shared" si="13"/>
        <v>-37563</v>
      </c>
      <c r="J179" s="98">
        <f t="shared" si="13"/>
        <v>-32228</v>
      </c>
      <c r="K179" s="98">
        <f t="shared" si="13"/>
        <v>-42512</v>
      </c>
      <c r="L179" s="98">
        <f t="shared" si="13"/>
        <v>-40389</v>
      </c>
      <c r="M179" s="98">
        <f t="shared" si="13"/>
        <v>-39564</v>
      </c>
      <c r="N179" s="98">
        <f t="shared" si="13"/>
        <v>-43574</v>
      </c>
      <c r="O179" s="98">
        <f t="shared" si="13"/>
        <v>-40902</v>
      </c>
      <c r="P179" s="98">
        <f t="shared" si="13"/>
        <v>-56317</v>
      </c>
      <c r="Q179" s="98">
        <f t="shared" si="13"/>
        <v>-67531</v>
      </c>
      <c r="R179" s="98">
        <f t="shared" si="13"/>
        <v>-77331</v>
      </c>
      <c r="S179" s="98">
        <f t="shared" si="13"/>
        <v>-86858</v>
      </c>
      <c r="T179" s="98">
        <f t="shared" si="13"/>
        <v>-94362</v>
      </c>
      <c r="U179" s="406">
        <f>U177-U178</f>
        <v>-94726</v>
      </c>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row>
    <row r="180" spans="1:96" s="2" customFormat="1" ht="13.2" customHeight="1" x14ac:dyDescent="0.3">
      <c r="A180" s="4"/>
      <c r="B180" s="100"/>
      <c r="C180" s="100"/>
      <c r="D180" s="100"/>
      <c r="E180" s="100"/>
      <c r="F180" s="100"/>
      <c r="G180" s="100"/>
      <c r="H180" s="100"/>
      <c r="I180" s="100"/>
      <c r="J180" s="100"/>
      <c r="K180" s="100"/>
      <c r="L180" s="100"/>
      <c r="M180" s="100"/>
      <c r="N180" s="100"/>
      <c r="O180" s="100"/>
      <c r="P180" s="100"/>
      <c r="Q180" s="100"/>
      <c r="R180" s="100"/>
      <c r="S180" s="100"/>
      <c r="T180" s="100"/>
      <c r="U180" s="652">
        <f>U177+U178</f>
        <v>422888</v>
      </c>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row>
    <row r="181" spans="1:96" s="4" customFormat="1" ht="12" customHeight="1" x14ac:dyDescent="0.3">
      <c r="B181" s="21"/>
      <c r="C181" s="21"/>
      <c r="D181" s="21"/>
      <c r="E181" s="21"/>
      <c r="F181" s="21"/>
      <c r="G181" s="21"/>
      <c r="H181" s="21"/>
      <c r="I181" s="21"/>
      <c r="J181" s="21"/>
      <c r="K181" s="21"/>
      <c r="L181" s="21"/>
      <c r="M181" s="21"/>
      <c r="N181" s="21"/>
      <c r="O181" s="21"/>
      <c r="P181" s="21"/>
      <c r="Q181" s="21"/>
      <c r="R181" s="21"/>
      <c r="S181" s="21"/>
      <c r="T181" s="21"/>
    </row>
    <row r="182" spans="1:96" s="108" customFormat="1" x14ac:dyDescent="0.3">
      <c r="A182" s="104" t="s">
        <v>187</v>
      </c>
      <c r="B182" s="105" t="s">
        <v>0</v>
      </c>
      <c r="C182" s="105" t="s">
        <v>1</v>
      </c>
      <c r="D182" s="105" t="s">
        <v>2</v>
      </c>
      <c r="E182" s="105" t="s">
        <v>3</v>
      </c>
      <c r="F182" s="105" t="s">
        <v>4</v>
      </c>
      <c r="G182" s="105" t="s">
        <v>5</v>
      </c>
      <c r="H182" s="105" t="s">
        <v>6</v>
      </c>
      <c r="I182" s="105" t="s">
        <v>7</v>
      </c>
      <c r="J182" s="105" t="s">
        <v>8</v>
      </c>
      <c r="K182" s="105" t="s">
        <v>9</v>
      </c>
      <c r="L182" s="105" t="s">
        <v>10</v>
      </c>
      <c r="M182" s="105" t="s">
        <v>11</v>
      </c>
      <c r="N182" s="105" t="s">
        <v>12</v>
      </c>
      <c r="O182" s="105" t="s">
        <v>13</v>
      </c>
      <c r="P182" s="105" t="s">
        <v>14</v>
      </c>
      <c r="Q182" s="105" t="s">
        <v>15</v>
      </c>
      <c r="R182" s="105" t="s">
        <v>16</v>
      </c>
      <c r="S182" s="105" t="s">
        <v>17</v>
      </c>
      <c r="T182" s="105" t="s">
        <v>18</v>
      </c>
      <c r="U182" s="105">
        <v>2017</v>
      </c>
      <c r="V182" s="107"/>
      <c r="W182" s="107"/>
      <c r="X182" s="107"/>
      <c r="Y182" s="107"/>
      <c r="Z182" s="107"/>
      <c r="AA182" s="107"/>
      <c r="AB182" s="107"/>
      <c r="AC182" s="107"/>
      <c r="AD182" s="107"/>
      <c r="AE182" s="107"/>
      <c r="AF182" s="107"/>
      <c r="AG182" s="107"/>
      <c r="AH182" s="107"/>
      <c r="AI182" s="107"/>
      <c r="AJ182" s="107"/>
      <c r="AK182" s="107"/>
      <c r="AL182" s="107"/>
      <c r="AM182" s="107"/>
      <c r="AN182" s="107"/>
      <c r="AO182" s="107"/>
      <c r="AP182" s="107"/>
      <c r="AQ182" s="107"/>
      <c r="AR182" s="107"/>
      <c r="AS182" s="107"/>
      <c r="AT182" s="107"/>
      <c r="AU182" s="107"/>
      <c r="AV182" s="107"/>
      <c r="AW182" s="107"/>
      <c r="AX182" s="107"/>
      <c r="AY182" s="107"/>
      <c r="AZ182" s="107"/>
      <c r="BA182" s="107"/>
      <c r="BB182" s="107"/>
      <c r="BC182" s="107"/>
      <c r="BD182" s="107"/>
      <c r="BE182" s="107"/>
      <c r="BF182" s="107"/>
      <c r="BG182" s="107"/>
      <c r="BH182" s="107"/>
      <c r="BI182" s="107"/>
      <c r="BJ182" s="107"/>
      <c r="BK182" s="107"/>
      <c r="BL182" s="107"/>
      <c r="BM182" s="107"/>
      <c r="BN182" s="107"/>
      <c r="BO182" s="107"/>
      <c r="BP182" s="107"/>
      <c r="BQ182" s="107"/>
      <c r="BR182" s="107"/>
      <c r="BS182" s="107"/>
      <c r="BT182" s="107"/>
      <c r="BU182" s="107"/>
      <c r="BV182" s="107"/>
      <c r="BW182" s="107"/>
      <c r="BX182" s="107"/>
      <c r="BY182" s="107"/>
      <c r="BZ182" s="107"/>
      <c r="CA182" s="107"/>
      <c r="CB182" s="107"/>
      <c r="CC182" s="107"/>
      <c r="CD182" s="107"/>
      <c r="CE182" s="107"/>
      <c r="CF182" s="107"/>
      <c r="CG182" s="107"/>
      <c r="CH182" s="107"/>
      <c r="CI182" s="107"/>
      <c r="CJ182" s="107"/>
      <c r="CK182" s="107"/>
      <c r="CL182" s="107"/>
      <c r="CM182" s="107"/>
      <c r="CN182" s="107"/>
      <c r="CO182" s="107"/>
      <c r="CP182" s="107"/>
      <c r="CQ182" s="107"/>
      <c r="CR182" s="107"/>
    </row>
    <row r="183" spans="1:96" s="91" customFormat="1" x14ac:dyDescent="0.3">
      <c r="A183" s="31" t="s">
        <v>169</v>
      </c>
      <c r="B183" s="631">
        <v>65168</v>
      </c>
      <c r="C183" s="631">
        <v>65432</v>
      </c>
      <c r="D183" s="631">
        <v>76126</v>
      </c>
      <c r="E183" s="631">
        <v>75592</v>
      </c>
      <c r="F183" s="631">
        <v>72192</v>
      </c>
      <c r="G183" s="631">
        <v>77071</v>
      </c>
      <c r="H183" s="631">
        <v>79389</v>
      </c>
      <c r="I183" s="631">
        <v>90837</v>
      </c>
      <c r="J183" s="631">
        <v>91372</v>
      </c>
      <c r="K183" s="631">
        <v>94348</v>
      </c>
      <c r="L183" s="631">
        <v>109855</v>
      </c>
      <c r="M183" s="631">
        <v>101700</v>
      </c>
      <c r="N183" s="631">
        <v>122529</v>
      </c>
      <c r="O183" s="631">
        <v>140921</v>
      </c>
      <c r="P183" s="631">
        <v>146887</v>
      </c>
      <c r="Q183" s="631">
        <v>149167</v>
      </c>
      <c r="R183" s="631">
        <v>146244</v>
      </c>
      <c r="S183" s="631">
        <v>153088</v>
      </c>
      <c r="T183" s="631">
        <v>156368</v>
      </c>
      <c r="U183" s="631">
        <v>174658</v>
      </c>
      <c r="W183" s="92" t="s">
        <v>275</v>
      </c>
      <c r="X183" s="410">
        <v>43188</v>
      </c>
    </row>
    <row r="184" spans="1:96" s="91" customFormat="1" x14ac:dyDescent="0.3">
      <c r="A184" s="31" t="s">
        <v>170</v>
      </c>
      <c r="B184" s="632">
        <v>81014</v>
      </c>
      <c r="C184" s="632">
        <v>85968</v>
      </c>
      <c r="D184" s="632">
        <v>105151</v>
      </c>
      <c r="E184" s="632">
        <v>105078</v>
      </c>
      <c r="F184" s="632">
        <v>97508</v>
      </c>
      <c r="G184" s="632">
        <v>100218</v>
      </c>
      <c r="H184" s="632">
        <v>108684</v>
      </c>
      <c r="I184" s="632">
        <v>122806</v>
      </c>
      <c r="J184" s="632">
        <v>137041</v>
      </c>
      <c r="K184" s="632">
        <v>140420</v>
      </c>
      <c r="L184" s="632">
        <v>161130</v>
      </c>
      <c r="M184" s="632">
        <v>147441</v>
      </c>
      <c r="N184" s="632">
        <v>174569</v>
      </c>
      <c r="O184" s="632">
        <v>194382</v>
      </c>
      <c r="P184" s="632">
        <v>197290</v>
      </c>
      <c r="Q184" s="632">
        <v>200626</v>
      </c>
      <c r="R184" s="632">
        <v>190984</v>
      </c>
      <c r="S184" s="632">
        <v>184040</v>
      </c>
      <c r="T184" s="632">
        <v>194658</v>
      </c>
      <c r="U184" s="632">
        <v>216967</v>
      </c>
      <c r="W184" s="92" t="s">
        <v>275</v>
      </c>
      <c r="X184" s="91" t="s">
        <v>565</v>
      </c>
    </row>
    <row r="185" spans="1:96" s="2" customFormat="1" ht="12" customHeight="1" x14ac:dyDescent="0.3">
      <c r="A185" s="37" t="s">
        <v>34</v>
      </c>
      <c r="B185" s="98">
        <f t="shared" ref="B185:T185" si="14">B183-B184</f>
        <v>-15846</v>
      </c>
      <c r="C185" s="98">
        <f t="shared" si="14"/>
        <v>-20536</v>
      </c>
      <c r="D185" s="98">
        <f t="shared" si="14"/>
        <v>-29025</v>
      </c>
      <c r="E185" s="98">
        <f t="shared" si="14"/>
        <v>-29486</v>
      </c>
      <c r="F185" s="98">
        <f t="shared" si="14"/>
        <v>-25316</v>
      </c>
      <c r="G185" s="98">
        <f t="shared" si="14"/>
        <v>-23147</v>
      </c>
      <c r="H185" s="98">
        <f t="shared" si="14"/>
        <v>-29295</v>
      </c>
      <c r="I185" s="98">
        <f t="shared" si="14"/>
        <v>-31969</v>
      </c>
      <c r="J185" s="98">
        <f t="shared" si="14"/>
        <v>-45669</v>
      </c>
      <c r="K185" s="98">
        <f t="shared" si="14"/>
        <v>-46072</v>
      </c>
      <c r="L185" s="98">
        <f t="shared" si="14"/>
        <v>-51275</v>
      </c>
      <c r="M185" s="98">
        <f t="shared" si="14"/>
        <v>-45741</v>
      </c>
      <c r="N185" s="98">
        <f t="shared" si="14"/>
        <v>-52040</v>
      </c>
      <c r="O185" s="98">
        <f t="shared" si="14"/>
        <v>-53461</v>
      </c>
      <c r="P185" s="98">
        <f t="shared" si="14"/>
        <v>-50403</v>
      </c>
      <c r="Q185" s="98">
        <f t="shared" si="14"/>
        <v>-51459</v>
      </c>
      <c r="R185" s="98">
        <f t="shared" si="14"/>
        <v>-44740</v>
      </c>
      <c r="S185" s="98">
        <f t="shared" si="14"/>
        <v>-30952</v>
      </c>
      <c r="T185" s="98">
        <f t="shared" si="14"/>
        <v>-38290</v>
      </c>
      <c r="U185" s="98">
        <f>U183-U184</f>
        <v>-42309</v>
      </c>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row>
    <row r="186" spans="1:96" s="91" customFormat="1" x14ac:dyDescent="0.3">
      <c r="C186" s="91" t="s">
        <v>579</v>
      </c>
      <c r="U186" s="653">
        <f>U183+U184</f>
        <v>391625</v>
      </c>
    </row>
    <row r="187" spans="1:96" s="6" customFormat="1" x14ac:dyDescent="0.3">
      <c r="A187" s="6" t="s">
        <v>222</v>
      </c>
      <c r="W187" s="6" t="s">
        <v>730</v>
      </c>
    </row>
    <row r="188" spans="1:96" s="91" customFormat="1" x14ac:dyDescent="0.3">
      <c r="A188" s="124" t="s">
        <v>223</v>
      </c>
      <c r="B188" s="125" t="s">
        <v>280</v>
      </c>
      <c r="C188" s="125" t="s">
        <v>281</v>
      </c>
      <c r="R188" s="624" t="s">
        <v>728</v>
      </c>
      <c r="S188" s="622">
        <f>S177/(S183+S177)</f>
        <v>0.46613101216382102</v>
      </c>
      <c r="T188" s="618">
        <f t="shared" ref="T188:U188" si="15">T177/(T183+T177)</f>
        <v>0.47715775078325356</v>
      </c>
      <c r="U188" s="619">
        <f t="shared" si="15"/>
        <v>0.48438768491375367</v>
      </c>
      <c r="W188" s="625">
        <f>(S188+T188+U188)/3</f>
        <v>0.47589214928694273</v>
      </c>
    </row>
    <row r="189" spans="1:96" s="91" customFormat="1" x14ac:dyDescent="0.3">
      <c r="A189" s="133" t="s">
        <v>182</v>
      </c>
      <c r="B189" s="171">
        <v>0.39</v>
      </c>
      <c r="C189" s="171">
        <f>B189*4</f>
        <v>1.56</v>
      </c>
      <c r="D189" s="92" t="s">
        <v>183</v>
      </c>
      <c r="E189" s="91" t="s">
        <v>224</v>
      </c>
      <c r="R189" s="312" t="s">
        <v>729</v>
      </c>
      <c r="S189" s="623">
        <f>1-S188</f>
        <v>0.53386898783617898</v>
      </c>
      <c r="T189" s="620">
        <f t="shared" ref="T189:U189" si="16">1-T188</f>
        <v>0.52284224921674638</v>
      </c>
      <c r="U189" s="621">
        <f t="shared" si="16"/>
        <v>0.51561231508624639</v>
      </c>
      <c r="W189" s="626">
        <f>(S189+T189+U189)/3</f>
        <v>0.52410785071305721</v>
      </c>
    </row>
    <row r="190" spans="1:96" s="91" customFormat="1" x14ac:dyDescent="0.3">
      <c r="A190" s="133" t="s">
        <v>283</v>
      </c>
      <c r="B190" s="171" t="s">
        <v>282</v>
      </c>
      <c r="C190" s="171">
        <v>2.4500000000000002</v>
      </c>
      <c r="D190" s="92" t="s">
        <v>183</v>
      </c>
      <c r="E190" s="91" t="s">
        <v>224</v>
      </c>
    </row>
    <row r="191" spans="1:96" s="91" customFormat="1" x14ac:dyDescent="0.3"/>
    <row r="193" spans="1:21" s="500" customFormat="1" ht="24.6" customHeight="1" x14ac:dyDescent="0.35">
      <c r="A193" s="204" t="s">
        <v>724</v>
      </c>
    </row>
    <row r="194" spans="1:21" s="91" customFormat="1" ht="22.2" customHeight="1" x14ac:dyDescent="0.3">
      <c r="A194" s="97" t="s">
        <v>524</v>
      </c>
    </row>
    <row r="195" spans="1:21" s="91" customFormat="1" ht="28.8" customHeight="1" thickBot="1" x14ac:dyDescent="0.35">
      <c r="A195" s="676" t="s">
        <v>525</v>
      </c>
      <c r="B195" s="676"/>
      <c r="C195" s="676"/>
      <c r="D195" s="676"/>
      <c r="E195" s="676"/>
      <c r="F195" s="676"/>
      <c r="G195" s="676"/>
      <c r="H195" s="676"/>
      <c r="I195" s="676"/>
      <c r="J195" s="676"/>
    </row>
    <row r="196" spans="1:21" s="106" customFormat="1" x14ac:dyDescent="0.3">
      <c r="A196" s="411" t="s">
        <v>48</v>
      </c>
      <c r="B196" s="412" t="s">
        <v>0</v>
      </c>
      <c r="C196" s="412" t="s">
        <v>1</v>
      </c>
      <c r="D196" s="412" t="s">
        <v>2</v>
      </c>
      <c r="E196" s="412">
        <v>2001</v>
      </c>
      <c r="F196" s="412" t="s">
        <v>4</v>
      </c>
      <c r="G196" s="412" t="s">
        <v>5</v>
      </c>
      <c r="H196" s="412" t="s">
        <v>6</v>
      </c>
      <c r="I196" s="412" t="s">
        <v>7</v>
      </c>
      <c r="J196" s="412" t="s">
        <v>8</v>
      </c>
      <c r="K196" s="412" t="s">
        <v>9</v>
      </c>
      <c r="L196" s="412" t="s">
        <v>10</v>
      </c>
      <c r="M196" s="412" t="s">
        <v>11</v>
      </c>
      <c r="N196" s="412" t="s">
        <v>12</v>
      </c>
      <c r="O196" s="412" t="s">
        <v>13</v>
      </c>
      <c r="P196" s="412" t="s">
        <v>14</v>
      </c>
      <c r="Q196" s="412" t="s">
        <v>15</v>
      </c>
      <c r="R196" s="412" t="s">
        <v>16</v>
      </c>
      <c r="S196" s="412" t="s">
        <v>17</v>
      </c>
      <c r="T196" s="412" t="s">
        <v>18</v>
      </c>
      <c r="U196" s="417">
        <v>2017</v>
      </c>
    </row>
    <row r="197" spans="1:21" s="91" customFormat="1" x14ac:dyDescent="0.3">
      <c r="A197" s="413" t="s">
        <v>519</v>
      </c>
      <c r="B197" s="44">
        <f>83</f>
        <v>83</v>
      </c>
      <c r="C197" s="44">
        <v>82.6</v>
      </c>
      <c r="D197" s="44">
        <v>84.7</v>
      </c>
      <c r="E197" s="44">
        <v>84.5</v>
      </c>
      <c r="F197" s="44">
        <v>82.4</v>
      </c>
      <c r="G197" s="44">
        <v>83</v>
      </c>
      <c r="H197" s="44">
        <v>81.900000000000006</v>
      </c>
      <c r="I197" s="44">
        <v>84.8</v>
      </c>
      <c r="J197" s="44">
        <v>86.6</v>
      </c>
      <c r="K197" s="44">
        <v>86.5</v>
      </c>
      <c r="L197" s="44">
        <v>97.7</v>
      </c>
      <c r="M197" s="44">
        <v>100.4</v>
      </c>
      <c r="N197" s="44">
        <v>104</v>
      </c>
      <c r="O197" s="44">
        <v>111</v>
      </c>
      <c r="P197" s="44">
        <v>110.1</v>
      </c>
      <c r="Q197" s="44">
        <v>111.1</v>
      </c>
      <c r="R197" s="44">
        <v>106.3</v>
      </c>
      <c r="S197" s="44">
        <v>100</v>
      </c>
      <c r="T197" s="44">
        <v>103.4</v>
      </c>
      <c r="U197" s="381">
        <v>109.4</v>
      </c>
    </row>
    <row r="198" spans="1:21" s="91" customFormat="1" x14ac:dyDescent="0.3">
      <c r="A198" s="413" t="s">
        <v>521</v>
      </c>
      <c r="B198" s="44">
        <f>B197/100</f>
        <v>0.83</v>
      </c>
      <c r="C198" s="44">
        <f>C197/100</f>
        <v>0.82599999999999996</v>
      </c>
      <c r="D198" s="44">
        <f>D197/100</f>
        <v>0.84699999999999998</v>
      </c>
      <c r="E198" s="44">
        <f>E197/100</f>
        <v>0.84499999999999997</v>
      </c>
      <c r="F198" s="44">
        <f t="shared" ref="F198:T198" si="17">F197/100</f>
        <v>0.82400000000000007</v>
      </c>
      <c r="G198" s="44">
        <f t="shared" si="17"/>
        <v>0.83</v>
      </c>
      <c r="H198" s="44">
        <f t="shared" si="17"/>
        <v>0.81900000000000006</v>
      </c>
      <c r="I198" s="44">
        <f t="shared" si="17"/>
        <v>0.84799999999999998</v>
      </c>
      <c r="J198" s="44">
        <f t="shared" si="17"/>
        <v>0.86599999999999999</v>
      </c>
      <c r="K198" s="44">
        <f t="shared" si="17"/>
        <v>0.86499999999999999</v>
      </c>
      <c r="L198" s="44">
        <f t="shared" si="17"/>
        <v>0.97699999999999998</v>
      </c>
      <c r="M198" s="44">
        <f t="shared" si="17"/>
        <v>1.004</v>
      </c>
      <c r="N198" s="44">
        <f t="shared" si="17"/>
        <v>1.04</v>
      </c>
      <c r="O198" s="44">
        <f t="shared" si="17"/>
        <v>1.1100000000000001</v>
      </c>
      <c r="P198" s="44">
        <f t="shared" si="17"/>
        <v>1.101</v>
      </c>
      <c r="Q198" s="44">
        <f t="shared" si="17"/>
        <v>1.111</v>
      </c>
      <c r="R198" s="44">
        <f t="shared" si="17"/>
        <v>1.0629999999999999</v>
      </c>
      <c r="S198" s="44">
        <f t="shared" si="17"/>
        <v>1</v>
      </c>
      <c r="T198" s="44">
        <f t="shared" si="17"/>
        <v>1.034</v>
      </c>
      <c r="U198" s="381">
        <f>U197/100</f>
        <v>1.0940000000000001</v>
      </c>
    </row>
    <row r="199" spans="1:21" s="48" customFormat="1" x14ac:dyDescent="0.3">
      <c r="A199" s="302" t="s">
        <v>520</v>
      </c>
      <c r="B199" s="415">
        <v>77.8</v>
      </c>
      <c r="C199" s="415">
        <v>78</v>
      </c>
      <c r="D199" s="415">
        <v>79.3</v>
      </c>
      <c r="E199" s="415">
        <v>79.900000000000006</v>
      </c>
      <c r="F199" s="415">
        <v>79.099999999999994</v>
      </c>
      <c r="G199" s="415">
        <v>80.8</v>
      </c>
      <c r="H199" s="415">
        <v>80.5</v>
      </c>
      <c r="I199" s="415">
        <v>82.5</v>
      </c>
      <c r="J199" s="415">
        <v>83.8</v>
      </c>
      <c r="K199" s="415">
        <v>83.2</v>
      </c>
      <c r="L199" s="415">
        <v>91.2</v>
      </c>
      <c r="M199" s="415">
        <v>94.7</v>
      </c>
      <c r="N199" s="415">
        <v>99.7</v>
      </c>
      <c r="O199" s="415">
        <v>105.1</v>
      </c>
      <c r="P199" s="415">
        <v>105.3</v>
      </c>
      <c r="Q199" s="415">
        <v>108.3</v>
      </c>
      <c r="R199" s="415">
        <v>105.3</v>
      </c>
      <c r="S199" s="415">
        <v>100</v>
      </c>
      <c r="T199" s="415">
        <v>104.8</v>
      </c>
      <c r="U199" s="416">
        <v>111.3</v>
      </c>
    </row>
    <row r="200" spans="1:21" s="44" customFormat="1" ht="15" thickBot="1" x14ac:dyDescent="0.35">
      <c r="A200" s="304" t="s">
        <v>522</v>
      </c>
      <c r="B200" s="414">
        <f>B199/100</f>
        <v>0.77800000000000002</v>
      </c>
      <c r="C200" s="414">
        <f>C199/100</f>
        <v>0.78</v>
      </c>
      <c r="D200" s="414">
        <f>D199/100</f>
        <v>0.79299999999999993</v>
      </c>
      <c r="E200" s="414">
        <f>E199/100</f>
        <v>0.79900000000000004</v>
      </c>
      <c r="F200" s="414">
        <f t="shared" ref="F200:T200" si="18">F199/100</f>
        <v>0.79099999999999993</v>
      </c>
      <c r="G200" s="414">
        <f t="shared" si="18"/>
        <v>0.80799999999999994</v>
      </c>
      <c r="H200" s="414">
        <f t="shared" si="18"/>
        <v>0.80500000000000005</v>
      </c>
      <c r="I200" s="414">
        <f t="shared" si="18"/>
        <v>0.82499999999999996</v>
      </c>
      <c r="J200" s="414">
        <f t="shared" si="18"/>
        <v>0.83799999999999997</v>
      </c>
      <c r="K200" s="414">
        <f t="shared" si="18"/>
        <v>0.83200000000000007</v>
      </c>
      <c r="L200" s="414">
        <f t="shared" si="18"/>
        <v>0.91200000000000003</v>
      </c>
      <c r="M200" s="414">
        <f t="shared" si="18"/>
        <v>0.94700000000000006</v>
      </c>
      <c r="N200" s="414">
        <f t="shared" si="18"/>
        <v>0.997</v>
      </c>
      <c r="O200" s="414">
        <f t="shared" si="18"/>
        <v>1.0509999999999999</v>
      </c>
      <c r="P200" s="414">
        <f t="shared" si="18"/>
        <v>1.0529999999999999</v>
      </c>
      <c r="Q200" s="414">
        <f t="shared" si="18"/>
        <v>1.083</v>
      </c>
      <c r="R200" s="414">
        <f t="shared" si="18"/>
        <v>1.0529999999999999</v>
      </c>
      <c r="S200" s="414">
        <f t="shared" si="18"/>
        <v>1</v>
      </c>
      <c r="T200" s="414">
        <f t="shared" si="18"/>
        <v>1.048</v>
      </c>
      <c r="U200" s="382">
        <f>U199/100</f>
        <v>1.113</v>
      </c>
    </row>
    <row r="202" spans="1:21" x14ac:dyDescent="0.3">
      <c r="A202" s="92" t="s">
        <v>520</v>
      </c>
    </row>
    <row r="203" spans="1:21" x14ac:dyDescent="0.3">
      <c r="A203" s="92" t="s">
        <v>519</v>
      </c>
    </row>
    <row r="204" spans="1:21" s="91" customFormat="1" ht="46.8" customHeight="1" x14ac:dyDescent="0.3">
      <c r="A204" s="676" t="s">
        <v>617</v>
      </c>
      <c r="B204" s="676"/>
      <c r="C204" s="676"/>
      <c r="D204" s="676"/>
      <c r="E204" s="676"/>
      <c r="F204" s="676"/>
      <c r="G204" s="676"/>
      <c r="H204" s="676"/>
      <c r="I204" s="676"/>
      <c r="J204" s="676"/>
      <c r="K204" s="676"/>
      <c r="L204" s="676"/>
      <c r="M204" s="676"/>
    </row>
    <row r="205" spans="1:21" s="91" customFormat="1" x14ac:dyDescent="0.3">
      <c r="A205" s="92"/>
    </row>
    <row r="206" spans="1:21" s="91" customFormat="1" ht="18" x14ac:dyDescent="0.35">
      <c r="A206" s="204" t="s">
        <v>558</v>
      </c>
    </row>
    <row r="207" spans="1:21" s="91" customFormat="1" x14ac:dyDescent="0.3">
      <c r="A207" s="2" t="s">
        <v>559</v>
      </c>
    </row>
    <row r="208" spans="1:21" s="91" customFormat="1" x14ac:dyDescent="0.3">
      <c r="A208" s="348" t="s">
        <v>275</v>
      </c>
    </row>
    <row r="209" spans="1:19" s="106" customFormat="1" x14ac:dyDescent="0.3">
      <c r="A209" s="104" t="s">
        <v>48</v>
      </c>
      <c r="B209" s="105" t="s">
        <v>1</v>
      </c>
      <c r="C209" s="105" t="s">
        <v>2</v>
      </c>
      <c r="D209" s="105">
        <v>2001</v>
      </c>
      <c r="E209" s="105" t="s">
        <v>4</v>
      </c>
      <c r="F209" s="105" t="s">
        <v>5</v>
      </c>
      <c r="G209" s="105" t="s">
        <v>6</v>
      </c>
      <c r="H209" s="105" t="s">
        <v>7</v>
      </c>
      <c r="I209" s="105" t="s">
        <v>8</v>
      </c>
      <c r="J209" s="105" t="s">
        <v>9</v>
      </c>
      <c r="K209" s="105" t="s">
        <v>10</v>
      </c>
      <c r="L209" s="105" t="s">
        <v>11</v>
      </c>
      <c r="M209" s="105" t="s">
        <v>12</v>
      </c>
      <c r="N209" s="105" t="s">
        <v>13</v>
      </c>
      <c r="O209" s="105" t="s">
        <v>14</v>
      </c>
      <c r="P209" s="105" t="s">
        <v>15</v>
      </c>
      <c r="Q209" s="105" t="s">
        <v>16</v>
      </c>
      <c r="R209" s="105" t="s">
        <v>17</v>
      </c>
      <c r="S209" s="105" t="s">
        <v>18</v>
      </c>
    </row>
    <row r="210" spans="1:19" s="91" customFormat="1" x14ac:dyDescent="0.3">
      <c r="A210" s="31" t="s">
        <v>496</v>
      </c>
      <c r="B210" s="91">
        <v>71.212000000000003</v>
      </c>
      <c r="C210" s="91">
        <v>72.727000000000004</v>
      </c>
      <c r="D210" s="91">
        <v>73.620999999999995</v>
      </c>
      <c r="E210" s="91">
        <v>75.343999999999994</v>
      </c>
      <c r="F210" s="91">
        <v>76.992999999999995</v>
      </c>
      <c r="G210" s="91">
        <v>79.135999999999996</v>
      </c>
      <c r="H210" s="91">
        <v>81.200999999999993</v>
      </c>
      <c r="I210" s="91">
        <v>83.745000000000005</v>
      </c>
      <c r="J210" s="91">
        <v>85.823999999999998</v>
      </c>
      <c r="K210" s="91">
        <v>88.055999999999997</v>
      </c>
      <c r="L210" s="91">
        <v>89.334999999999994</v>
      </c>
      <c r="M210" s="91">
        <v>90.966999999999999</v>
      </c>
      <c r="N210" s="91">
        <v>92.278000000000006</v>
      </c>
      <c r="O210" s="91">
        <v>94.194999999999993</v>
      </c>
      <c r="P210" s="91">
        <v>95.802999999999997</v>
      </c>
      <c r="Q210" s="91">
        <v>97.191999999999993</v>
      </c>
      <c r="R210" s="91">
        <v>97.847999999999999</v>
      </c>
      <c r="S210" s="91">
        <v>100</v>
      </c>
    </row>
    <row r="211" spans="1:19" s="91" customFormat="1" x14ac:dyDescent="0.3">
      <c r="A211" s="91" t="s">
        <v>497</v>
      </c>
      <c r="B211" s="62">
        <f>100/B210</f>
        <v>1.4042577093748243</v>
      </c>
      <c r="C211" s="62">
        <f t="shared" ref="C211:S211" si="19">100/C210</f>
        <v>1.3750051562693359</v>
      </c>
      <c r="D211" s="62">
        <f t="shared" si="19"/>
        <v>1.3583080914413008</v>
      </c>
      <c r="E211" s="62">
        <f t="shared" si="19"/>
        <v>1.327245699723933</v>
      </c>
      <c r="F211" s="62">
        <f t="shared" si="19"/>
        <v>1.2988193731897706</v>
      </c>
      <c r="G211" s="62">
        <f t="shared" si="19"/>
        <v>1.2636473918317834</v>
      </c>
      <c r="H211" s="62">
        <f t="shared" si="19"/>
        <v>1.2315119271930151</v>
      </c>
      <c r="I211" s="62">
        <f t="shared" si="19"/>
        <v>1.1941011403665889</v>
      </c>
      <c r="J211" s="62">
        <f t="shared" si="19"/>
        <v>1.1651752423564505</v>
      </c>
      <c r="K211" s="62">
        <f t="shared" si="19"/>
        <v>1.1356409557554283</v>
      </c>
      <c r="L211" s="62">
        <f t="shared" si="19"/>
        <v>1.1193821010802039</v>
      </c>
      <c r="M211" s="62">
        <f t="shared" si="19"/>
        <v>1.0992997460617586</v>
      </c>
      <c r="N211" s="62">
        <f t="shared" si="19"/>
        <v>1.0836819176835215</v>
      </c>
      <c r="O211" s="62">
        <f t="shared" si="19"/>
        <v>1.0616274749190511</v>
      </c>
      <c r="P211" s="62">
        <f t="shared" si="19"/>
        <v>1.0438086489984657</v>
      </c>
      <c r="Q211" s="62">
        <f t="shared" si="19"/>
        <v>1.0288912667709278</v>
      </c>
      <c r="R211" s="62">
        <f t="shared" si="19"/>
        <v>1.0219932957239801</v>
      </c>
      <c r="S211" s="62">
        <f t="shared" si="19"/>
        <v>1</v>
      </c>
    </row>
    <row r="212" spans="1:19" ht="13.2" customHeight="1" x14ac:dyDescent="0.3"/>
    <row r="213" spans="1:19" ht="21" x14ac:dyDescent="0.4">
      <c r="A213" s="615" t="s">
        <v>725</v>
      </c>
    </row>
    <row r="214" spans="1:19" s="91" customFormat="1" ht="18.600000000000001" thickBot="1" x14ac:dyDescent="0.4">
      <c r="A214" s="204" t="s">
        <v>532</v>
      </c>
    </row>
    <row r="215" spans="1:19" s="91" customFormat="1" ht="18" x14ac:dyDescent="0.35">
      <c r="A215" s="384" t="s">
        <v>544</v>
      </c>
      <c r="B215" s="390" t="s">
        <v>546</v>
      </c>
      <c r="C215" s="391" t="s">
        <v>34</v>
      </c>
      <c r="D215" s="635" t="s">
        <v>542</v>
      </c>
      <c r="E215" s="91" t="s">
        <v>543</v>
      </c>
    </row>
    <row r="216" spans="1:19" x14ac:dyDescent="0.3">
      <c r="A216" s="308" t="s">
        <v>527</v>
      </c>
      <c r="B216" s="44">
        <f>B218+B220</f>
        <v>281.13099999999997</v>
      </c>
      <c r="C216" s="44">
        <f>B216-B217</f>
        <v>-58.29200000000003</v>
      </c>
      <c r="D216" s="636">
        <f>C216*1.35</f>
        <v>-78.694200000000052</v>
      </c>
      <c r="E216" s="92"/>
    </row>
    <row r="217" spans="1:19" x14ac:dyDescent="0.3">
      <c r="A217" s="308" t="s">
        <v>528</v>
      </c>
      <c r="B217" s="44">
        <f>B219+B221</f>
        <v>339.423</v>
      </c>
      <c r="C217" s="44"/>
      <c r="D217" s="636"/>
      <c r="E217" s="92"/>
    </row>
    <row r="218" spans="1:19" x14ac:dyDescent="0.3">
      <c r="A218" s="308" t="s">
        <v>529</v>
      </c>
      <c r="B218" s="44">
        <f>U177/1000</f>
        <v>164.08099999999999</v>
      </c>
      <c r="C218" s="44">
        <f>B218-B219</f>
        <v>-94.726000000000028</v>
      </c>
      <c r="D218" s="636">
        <f>C218*1.35</f>
        <v>-127.88010000000004</v>
      </c>
      <c r="E218" s="348"/>
    </row>
    <row r="219" spans="1:19" x14ac:dyDescent="0.3">
      <c r="A219" s="308" t="s">
        <v>530</v>
      </c>
      <c r="B219" s="44">
        <f>U178/1000</f>
        <v>258.80700000000002</v>
      </c>
      <c r="C219" s="44"/>
      <c r="D219" s="636"/>
    </row>
    <row r="220" spans="1:19" x14ac:dyDescent="0.3">
      <c r="A220" s="308" t="s">
        <v>150</v>
      </c>
      <c r="B220" s="44">
        <f>'2. Trade in Services'!T188</f>
        <v>117.05</v>
      </c>
      <c r="C220" s="44">
        <f>B220-B221</f>
        <v>36.433999999999997</v>
      </c>
      <c r="D220" s="636">
        <f>C220*1.35</f>
        <v>49.185899999999997</v>
      </c>
      <c r="E220" s="92"/>
    </row>
    <row r="221" spans="1:19" x14ac:dyDescent="0.3">
      <c r="A221" s="308" t="s">
        <v>531</v>
      </c>
      <c r="B221" s="44">
        <f>'2. Trade in Services'!T189</f>
        <v>80.616</v>
      </c>
      <c r="C221" s="44"/>
      <c r="D221" s="636"/>
      <c r="E221" s="92"/>
    </row>
    <row r="222" spans="1:19" ht="15" thickBot="1" x14ac:dyDescent="0.35">
      <c r="A222" s="392" t="s">
        <v>533</v>
      </c>
      <c r="B222" s="393"/>
      <c r="C222" s="393"/>
      <c r="D222" s="637">
        <f>D216</f>
        <v>-78.694200000000052</v>
      </c>
      <c r="E222" s="92"/>
    </row>
    <row r="223" spans="1:19" s="91" customFormat="1" x14ac:dyDescent="0.3"/>
    <row r="224" spans="1:19" s="91" customFormat="1" ht="15" thickBot="1" x14ac:dyDescent="0.35">
      <c r="A224" s="6" t="s">
        <v>534</v>
      </c>
    </row>
    <row r="225" spans="1:6" ht="18.600000000000001" thickBot="1" x14ac:dyDescent="0.4">
      <c r="A225" s="388" t="s">
        <v>545</v>
      </c>
      <c r="B225" s="389" t="s">
        <v>547</v>
      </c>
    </row>
    <row r="226" spans="1:6" x14ac:dyDescent="0.3">
      <c r="A226" s="308" t="s">
        <v>539</v>
      </c>
      <c r="B226" s="381">
        <v>130.4</v>
      </c>
      <c r="E226" s="92" t="s">
        <v>275</v>
      </c>
      <c r="F226" s="71" t="s">
        <v>538</v>
      </c>
    </row>
    <row r="227" spans="1:6" x14ac:dyDescent="0.3">
      <c r="A227" s="308" t="s">
        <v>540</v>
      </c>
      <c r="B227" s="381">
        <v>505.6</v>
      </c>
      <c r="E227" s="92" t="s">
        <v>275</v>
      </c>
      <c r="F227" s="71" t="s">
        <v>541</v>
      </c>
    </row>
    <row r="228" spans="1:6" x14ac:dyDescent="0.3">
      <c r="A228" s="308" t="s">
        <v>562</v>
      </c>
      <c r="B228" s="381">
        <f>B226-B227</f>
        <v>-375.20000000000005</v>
      </c>
    </row>
    <row r="229" spans="1:6" x14ac:dyDescent="0.3">
      <c r="A229" s="308"/>
      <c r="B229" s="381"/>
    </row>
    <row r="230" spans="1:6" x14ac:dyDescent="0.3">
      <c r="A230" s="308" t="s">
        <v>535</v>
      </c>
      <c r="B230" s="381">
        <v>53.5</v>
      </c>
    </row>
    <row r="231" spans="1:6" x14ac:dyDescent="0.3">
      <c r="A231" s="308" t="s">
        <v>536</v>
      </c>
      <c r="B231" s="381">
        <v>16.100000000000001</v>
      </c>
    </row>
    <row r="232" spans="1:6" ht="15" thickBot="1" x14ac:dyDescent="0.35">
      <c r="A232" s="304" t="s">
        <v>537</v>
      </c>
      <c r="B232" s="382">
        <f>B230-B231</f>
        <v>37.4</v>
      </c>
    </row>
    <row r="233" spans="1:6" s="91" customFormat="1" x14ac:dyDescent="0.3">
      <c r="A233" s="383" t="s">
        <v>549</v>
      </c>
      <c r="B233" s="44">
        <f>B228+B232</f>
        <v>-337.80000000000007</v>
      </c>
    </row>
    <row r="234" spans="1:6" s="91" customFormat="1" x14ac:dyDescent="0.3">
      <c r="A234" s="44"/>
      <c r="B234" s="44"/>
    </row>
    <row r="235" spans="1:6" s="91" customFormat="1" ht="15" thickBot="1" x14ac:dyDescent="0.35">
      <c r="A235" s="44"/>
      <c r="B235" s="44"/>
    </row>
    <row r="236" spans="1:6" ht="18" x14ac:dyDescent="0.35">
      <c r="A236" s="394" t="s">
        <v>551</v>
      </c>
      <c r="B236" s="395" t="s">
        <v>550</v>
      </c>
    </row>
    <row r="237" spans="1:6" x14ac:dyDescent="0.3">
      <c r="A237" s="396" t="s">
        <v>548</v>
      </c>
      <c r="B237" s="639">
        <v>337.8</v>
      </c>
    </row>
    <row r="238" spans="1:6" ht="15" thickBot="1" x14ac:dyDescent="0.35">
      <c r="A238" s="398" t="s">
        <v>561</v>
      </c>
      <c r="B238" s="638">
        <v>78.69</v>
      </c>
      <c r="D238" s="62">
        <f>B237/B238</f>
        <v>4.2927945101029357</v>
      </c>
    </row>
    <row r="239" spans="1:6" ht="15" thickBot="1" x14ac:dyDescent="0.35"/>
    <row r="240" spans="1:6" ht="18" x14ac:dyDescent="0.35">
      <c r="A240" s="394" t="s">
        <v>552</v>
      </c>
      <c r="B240" s="400" t="s">
        <v>550</v>
      </c>
      <c r="C240" s="395" t="s">
        <v>554</v>
      </c>
      <c r="E240" s="385"/>
      <c r="F240" s="386" t="s">
        <v>553</v>
      </c>
    </row>
    <row r="241" spans="1:6" x14ac:dyDescent="0.3">
      <c r="A241" s="396" t="s">
        <v>548</v>
      </c>
      <c r="B241" s="387">
        <f>B237/D241</f>
        <v>53.618750346509955</v>
      </c>
      <c r="C241" s="397">
        <v>18.036999999999999</v>
      </c>
      <c r="D241" s="62">
        <f>C241/C242</f>
        <v>6.3000349283967862</v>
      </c>
      <c r="F241" s="71" t="s">
        <v>555</v>
      </c>
    </row>
    <row r="242" spans="1:6" ht="15" thickBot="1" x14ac:dyDescent="0.35">
      <c r="A242" s="398" t="s">
        <v>561</v>
      </c>
      <c r="B242" s="401">
        <v>78.8</v>
      </c>
      <c r="C242" s="399">
        <v>2.863</v>
      </c>
      <c r="D242" s="62">
        <f>B242/B241</f>
        <v>1.4696351461150585</v>
      </c>
    </row>
    <row r="243" spans="1:6" ht="15" thickBot="1" x14ac:dyDescent="0.35"/>
    <row r="244" spans="1:6" ht="18" x14ac:dyDescent="0.35">
      <c r="A244" s="394" t="s">
        <v>560</v>
      </c>
      <c r="B244" s="400" t="s">
        <v>557</v>
      </c>
      <c r="C244" s="395" t="s">
        <v>556</v>
      </c>
      <c r="D244" s="91"/>
    </row>
    <row r="245" spans="1:6" x14ac:dyDescent="0.3">
      <c r="A245" s="396" t="s">
        <v>575</v>
      </c>
      <c r="B245" s="407">
        <f>(B237/C245)*1000</f>
        <v>1049.7203231821006</v>
      </c>
      <c r="C245" s="397">
        <f>321.8</f>
        <v>321.8</v>
      </c>
      <c r="D245" s="91"/>
    </row>
    <row r="246" spans="1:6" ht="15" thickBot="1" x14ac:dyDescent="0.35">
      <c r="A246" s="398" t="s">
        <v>576</v>
      </c>
      <c r="B246" s="408">
        <f>(B238/C246)*1000</f>
        <v>1216.2287480680061</v>
      </c>
      <c r="C246" s="399">
        <v>64.7</v>
      </c>
      <c r="D246" s="62">
        <f>B246/B245</f>
        <v>1.1586217025704098</v>
      </c>
    </row>
    <row r="249" spans="1:6" x14ac:dyDescent="0.3">
      <c r="A249" s="2" t="s">
        <v>563</v>
      </c>
    </row>
    <row r="250" spans="1:6" x14ac:dyDescent="0.3">
      <c r="A250" s="348" t="s">
        <v>275</v>
      </c>
    </row>
    <row r="251" spans="1:6" x14ac:dyDescent="0.3">
      <c r="A251" s="348" t="s">
        <v>564</v>
      </c>
    </row>
    <row r="253" spans="1:6" s="500" customFormat="1" x14ac:dyDescent="0.3"/>
    <row r="254" spans="1:6" ht="21" x14ac:dyDescent="0.4">
      <c r="A254" s="615" t="s">
        <v>661</v>
      </c>
    </row>
    <row r="255" spans="1:6" ht="15" thickBot="1" x14ac:dyDescent="0.35">
      <c r="A255" s="6" t="s">
        <v>659</v>
      </c>
    </row>
    <row r="256" spans="1:6" ht="15" thickBot="1" x14ac:dyDescent="0.35">
      <c r="A256" s="546" t="s">
        <v>654</v>
      </c>
      <c r="B256" s="546" t="s">
        <v>680</v>
      </c>
      <c r="C256" s="587" t="s">
        <v>183</v>
      </c>
    </row>
    <row r="257" spans="1:32" x14ac:dyDescent="0.3">
      <c r="A257" s="308" t="s">
        <v>656</v>
      </c>
      <c r="B257" s="555">
        <f>B75</f>
        <v>2.1661529189782591E-3</v>
      </c>
      <c r="C257" s="588"/>
    </row>
    <row r="258" spans="1:32" x14ac:dyDescent="0.3">
      <c r="A258" s="308" t="s">
        <v>657</v>
      </c>
      <c r="B258" s="555">
        <f>AA261</f>
        <v>1.1850000000000001E-2</v>
      </c>
      <c r="C258" s="588" t="s">
        <v>644</v>
      </c>
      <c r="E258" s="591" t="s">
        <v>681</v>
      </c>
    </row>
    <row r="259" spans="1:32" ht="15" thickBot="1" x14ac:dyDescent="0.35">
      <c r="A259" s="308" t="s">
        <v>658</v>
      </c>
      <c r="B259" s="555">
        <v>1.5599999999999999E-2</v>
      </c>
      <c r="C259" s="589" t="s">
        <v>224</v>
      </c>
      <c r="E259" s="6" t="s">
        <v>643</v>
      </c>
      <c r="F259" s="6" t="s">
        <v>644</v>
      </c>
      <c r="G259" s="542" t="s">
        <v>275</v>
      </c>
    </row>
    <row r="260" spans="1:32" ht="15" thickBot="1" x14ac:dyDescent="0.35">
      <c r="A260" s="304" t="s">
        <v>655</v>
      </c>
      <c r="B260" s="556">
        <f>I279</f>
        <v>2.1059431149278218E-2</v>
      </c>
      <c r="C260" s="590" t="s">
        <v>679</v>
      </c>
      <c r="E260" s="553">
        <v>1998</v>
      </c>
      <c r="F260" s="554">
        <v>1999</v>
      </c>
      <c r="G260" s="554">
        <v>2000</v>
      </c>
      <c r="H260" s="554">
        <v>2001</v>
      </c>
      <c r="I260" s="554">
        <v>2002</v>
      </c>
      <c r="J260" s="554">
        <v>2003</v>
      </c>
      <c r="K260" s="554">
        <v>2004</v>
      </c>
      <c r="L260" s="554">
        <v>2005</v>
      </c>
      <c r="M260" s="554">
        <v>2006</v>
      </c>
      <c r="N260" s="554">
        <v>2007</v>
      </c>
      <c r="O260" s="554">
        <v>2008</v>
      </c>
      <c r="P260" s="554">
        <v>2009</v>
      </c>
      <c r="Q260" s="554">
        <v>2010</v>
      </c>
      <c r="R260" s="554">
        <v>2011</v>
      </c>
      <c r="S260" s="554">
        <v>2012</v>
      </c>
      <c r="T260" s="554">
        <v>2013</v>
      </c>
      <c r="U260" s="554">
        <v>2014</v>
      </c>
      <c r="V260" s="554">
        <v>2015</v>
      </c>
      <c r="W260" s="554">
        <v>2016</v>
      </c>
      <c r="X260" s="554">
        <v>2017</v>
      </c>
      <c r="Y260" s="547"/>
      <c r="Z260" s="547" t="s">
        <v>174</v>
      </c>
      <c r="AA260" s="544" t="s">
        <v>642</v>
      </c>
    </row>
    <row r="261" spans="1:32" ht="15" thickBot="1" x14ac:dyDescent="0.35">
      <c r="E261" s="304">
        <v>2.8</v>
      </c>
      <c r="F261" s="414">
        <v>2.4</v>
      </c>
      <c r="G261" s="414">
        <v>3.2</v>
      </c>
      <c r="H261" s="414">
        <v>1.5</v>
      </c>
      <c r="I261" s="414">
        <v>2.4</v>
      </c>
      <c r="J261" s="414">
        <v>2.9</v>
      </c>
      <c r="K261" s="414">
        <v>1.2</v>
      </c>
      <c r="L261" s="414">
        <v>2</v>
      </c>
      <c r="M261" s="414">
        <v>1.8</v>
      </c>
      <c r="N261" s="414">
        <v>1.5</v>
      </c>
      <c r="O261" s="414">
        <v>-0.6</v>
      </c>
      <c r="P261" s="414">
        <v>-1.5</v>
      </c>
      <c r="Q261" s="414">
        <v>1.3</v>
      </c>
      <c r="R261" s="414">
        <v>1.1000000000000001</v>
      </c>
      <c r="S261" s="414">
        <v>-0.7</v>
      </c>
      <c r="T261" s="414">
        <v>-0.4</v>
      </c>
      <c r="U261" s="414">
        <v>0.6</v>
      </c>
      <c r="V261" s="414">
        <v>1</v>
      </c>
      <c r="W261" s="414">
        <v>0.5</v>
      </c>
      <c r="X261" s="414">
        <v>0.7</v>
      </c>
      <c r="Y261" s="414"/>
      <c r="Z261" s="414">
        <f>SUM(E261:X261)</f>
        <v>23.700000000000003</v>
      </c>
      <c r="AA261" s="586">
        <f>Z261/2000</f>
        <v>1.1850000000000001E-2</v>
      </c>
    </row>
    <row r="262" spans="1:32" s="500" customFormat="1" x14ac:dyDescent="0.3"/>
    <row r="263" spans="1:32" x14ac:dyDescent="0.3">
      <c r="E263" s="591" t="s">
        <v>682</v>
      </c>
    </row>
    <row r="264" spans="1:32" ht="15" thickBot="1" x14ac:dyDescent="0.35">
      <c r="E264" s="6" t="s">
        <v>650</v>
      </c>
      <c r="F264" s="6" t="s">
        <v>645</v>
      </c>
      <c r="G264" s="542" t="s">
        <v>275</v>
      </c>
      <c r="H264" s="6" t="s">
        <v>671</v>
      </c>
      <c r="J264" s="92" t="s">
        <v>672</v>
      </c>
    </row>
    <row r="265" spans="1:32" ht="15" thickBot="1" x14ac:dyDescent="0.35">
      <c r="D265" s="500"/>
      <c r="E265" s="546" t="s">
        <v>48</v>
      </c>
      <c r="F265" s="546">
        <v>1998</v>
      </c>
      <c r="G265" s="551">
        <v>1999</v>
      </c>
      <c r="H265" s="551">
        <v>2000</v>
      </c>
      <c r="I265" s="551">
        <v>2001</v>
      </c>
      <c r="J265" s="551">
        <v>2002</v>
      </c>
      <c r="K265" s="551">
        <v>2003</v>
      </c>
      <c r="L265" s="551">
        <v>2004</v>
      </c>
      <c r="M265" s="551">
        <v>2005</v>
      </c>
      <c r="N265" s="551">
        <v>2006</v>
      </c>
      <c r="O265" s="551">
        <v>2007</v>
      </c>
      <c r="P265" s="551">
        <v>2008</v>
      </c>
      <c r="Q265" s="551">
        <v>2009</v>
      </c>
      <c r="R265" s="551">
        <v>2010</v>
      </c>
      <c r="S265" s="551">
        <v>20111</v>
      </c>
      <c r="T265" s="551">
        <v>2012</v>
      </c>
      <c r="U265" s="551">
        <v>2013</v>
      </c>
      <c r="V265" s="551">
        <v>2014</v>
      </c>
      <c r="W265" s="551">
        <v>2015</v>
      </c>
      <c r="X265" s="551">
        <v>2016</v>
      </c>
      <c r="Y265" s="551">
        <v>2017</v>
      </c>
      <c r="Z265" s="552">
        <v>2018</v>
      </c>
    </row>
    <row r="266" spans="1:32" x14ac:dyDescent="0.3">
      <c r="D266" s="500"/>
      <c r="E266" s="489" t="s">
        <v>673</v>
      </c>
      <c r="F266" s="308">
        <v>152</v>
      </c>
      <c r="G266" s="44">
        <v>154.80000000000001</v>
      </c>
      <c r="H266" s="44">
        <v>168.2</v>
      </c>
      <c r="I266" s="44">
        <v>161.9</v>
      </c>
      <c r="J266" s="44">
        <v>146.6</v>
      </c>
      <c r="K266" s="44">
        <v>155.69999999999999</v>
      </c>
      <c r="L266" s="44">
        <v>171.2</v>
      </c>
      <c r="M266" s="44">
        <v>185.2</v>
      </c>
      <c r="N266" s="44">
        <v>211.9</v>
      </c>
      <c r="O266" s="44">
        <v>244.2</v>
      </c>
      <c r="P266" s="44">
        <v>271.8</v>
      </c>
      <c r="Q266" s="44">
        <v>220.6</v>
      </c>
      <c r="R266" s="44">
        <v>239.6</v>
      </c>
      <c r="S266" s="44">
        <v>269.10000000000002</v>
      </c>
      <c r="T266" s="44">
        <v>265.39999999999998</v>
      </c>
      <c r="U266" s="44">
        <v>262.10000000000002</v>
      </c>
      <c r="V266" s="44">
        <v>276.3</v>
      </c>
      <c r="W266" s="44">
        <v>271.89999999999998</v>
      </c>
      <c r="X266" s="44">
        <v>269.5</v>
      </c>
      <c r="Y266" s="44">
        <v>283.3</v>
      </c>
      <c r="Z266" s="381"/>
    </row>
    <row r="267" spans="1:32" ht="29.4" thickBot="1" x14ac:dyDescent="0.35">
      <c r="D267" s="500"/>
      <c r="E267" s="567" t="s">
        <v>674</v>
      </c>
      <c r="F267" s="304">
        <v>-3.6</v>
      </c>
      <c r="G267" s="414">
        <v>-1.4</v>
      </c>
      <c r="H267" s="414">
        <v>1.9</v>
      </c>
      <c r="I267" s="414">
        <v>-1</v>
      </c>
      <c r="J267" s="414">
        <v>-0.7</v>
      </c>
      <c r="K267" s="414">
        <v>1.1000000000000001</v>
      </c>
      <c r="L267" s="414">
        <v>4.5</v>
      </c>
      <c r="M267" s="414">
        <v>2.8</v>
      </c>
      <c r="N267" s="414">
        <v>4.5</v>
      </c>
      <c r="O267" s="414">
        <v>4</v>
      </c>
      <c r="P267" s="414">
        <v>8.6999999999999993</v>
      </c>
      <c r="Q267" s="414">
        <v>-8.3000000000000007</v>
      </c>
      <c r="R267" s="414">
        <v>3.9</v>
      </c>
      <c r="S267" s="414">
        <v>9.8000000000000007</v>
      </c>
      <c r="T267" s="414">
        <v>-1.3</v>
      </c>
      <c r="U267" s="414">
        <v>0.3</v>
      </c>
      <c r="V267" s="414">
        <v>0.4</v>
      </c>
      <c r="W267" s="414">
        <v>-6.2</v>
      </c>
      <c r="X267" s="414">
        <v>-3</v>
      </c>
      <c r="Y267" s="414">
        <v>0.9</v>
      </c>
      <c r="Z267" s="382">
        <v>4.3</v>
      </c>
      <c r="AA267" s="92" t="s">
        <v>646</v>
      </c>
      <c r="AC267" s="71" t="s">
        <v>647</v>
      </c>
      <c r="AF267" s="71" t="s">
        <v>648</v>
      </c>
    </row>
    <row r="268" spans="1:32" x14ac:dyDescent="0.3">
      <c r="D268" s="500"/>
    </row>
    <row r="269" spans="1:32" s="500" customFormat="1" ht="15" thickBot="1" x14ac:dyDescent="0.35">
      <c r="E269" s="6" t="s">
        <v>675</v>
      </c>
    </row>
    <row r="270" spans="1:32" x14ac:dyDescent="0.3">
      <c r="D270" s="500"/>
      <c r="E270" s="568" t="s">
        <v>668</v>
      </c>
      <c r="F270" s="578">
        <v>100</v>
      </c>
      <c r="G270" s="547">
        <f t="shared" ref="G270:Y270" si="20">G267/100</f>
        <v>-1.3999999999999999E-2</v>
      </c>
      <c r="H270" s="547">
        <f t="shared" si="20"/>
        <v>1.9E-2</v>
      </c>
      <c r="I270" s="547">
        <f t="shared" si="20"/>
        <v>-0.01</v>
      </c>
      <c r="J270" s="547">
        <f t="shared" si="20"/>
        <v>-6.9999999999999993E-3</v>
      </c>
      <c r="K270" s="547">
        <f t="shared" si="20"/>
        <v>1.1000000000000001E-2</v>
      </c>
      <c r="L270" s="547">
        <f t="shared" si="20"/>
        <v>4.4999999999999998E-2</v>
      </c>
      <c r="M270" s="547">
        <f t="shared" si="20"/>
        <v>2.7999999999999997E-2</v>
      </c>
      <c r="N270" s="547">
        <f t="shared" si="20"/>
        <v>4.4999999999999998E-2</v>
      </c>
      <c r="O270" s="547">
        <f t="shared" si="20"/>
        <v>0.04</v>
      </c>
      <c r="P270" s="547">
        <f t="shared" si="20"/>
        <v>8.6999999999999994E-2</v>
      </c>
      <c r="Q270" s="547">
        <f t="shared" si="20"/>
        <v>-8.3000000000000004E-2</v>
      </c>
      <c r="R270" s="547">
        <f t="shared" si="20"/>
        <v>3.9E-2</v>
      </c>
      <c r="S270" s="547">
        <f t="shared" si="20"/>
        <v>9.8000000000000004E-2</v>
      </c>
      <c r="T270" s="547">
        <f t="shared" si="20"/>
        <v>-1.3000000000000001E-2</v>
      </c>
      <c r="U270" s="547">
        <f t="shared" si="20"/>
        <v>3.0000000000000001E-3</v>
      </c>
      <c r="V270" s="547">
        <f t="shared" si="20"/>
        <v>4.0000000000000001E-3</v>
      </c>
      <c r="W270" s="547">
        <f t="shared" si="20"/>
        <v>-6.2E-2</v>
      </c>
      <c r="X270" s="547">
        <f t="shared" si="20"/>
        <v>-0.03</v>
      </c>
      <c r="Y270" s="544">
        <f t="shared" si="20"/>
        <v>9.0000000000000011E-3</v>
      </c>
      <c r="Z270" s="500"/>
    </row>
    <row r="271" spans="1:32" x14ac:dyDescent="0.3">
      <c r="D271" s="500"/>
      <c r="E271" s="308" t="s">
        <v>669</v>
      </c>
      <c r="F271" s="70">
        <v>100</v>
      </c>
      <c r="G271" s="44">
        <f>100+(F270*G270)</f>
        <v>98.6</v>
      </c>
      <c r="H271" s="548">
        <f t="shared" ref="H271:M271" si="21">G271+(G271*H270)</f>
        <v>100.4734</v>
      </c>
      <c r="I271" s="548">
        <f t="shared" si="21"/>
        <v>99.468665999999999</v>
      </c>
      <c r="J271" s="548">
        <f t="shared" si="21"/>
        <v>98.772385337999992</v>
      </c>
      <c r="K271" s="548">
        <f t="shared" si="21"/>
        <v>99.858881576717991</v>
      </c>
      <c r="L271" s="548">
        <f t="shared" si="21"/>
        <v>104.3525312476703</v>
      </c>
      <c r="M271" s="548">
        <f t="shared" si="21"/>
        <v>107.27440212260507</v>
      </c>
      <c r="N271" s="548">
        <f t="shared" ref="N271:U271" si="22">M271+(M271*N270)</f>
        <v>112.10175021812229</v>
      </c>
      <c r="O271" s="548">
        <f t="shared" si="22"/>
        <v>116.58582022684718</v>
      </c>
      <c r="P271" s="548">
        <f t="shared" si="22"/>
        <v>126.72878658658288</v>
      </c>
      <c r="Q271" s="548">
        <f t="shared" si="22"/>
        <v>116.21029729989651</v>
      </c>
      <c r="R271" s="548">
        <f t="shared" si="22"/>
        <v>120.74249889459247</v>
      </c>
      <c r="S271" s="548">
        <f t="shared" si="22"/>
        <v>132.57526378626252</v>
      </c>
      <c r="T271" s="548">
        <f t="shared" ref="T271:Y271" si="23">S271+(S271*T270)</f>
        <v>130.85178535704111</v>
      </c>
      <c r="U271" s="548">
        <f t="shared" si="22"/>
        <v>131.24434071311222</v>
      </c>
      <c r="V271" s="548">
        <f t="shared" si="23"/>
        <v>131.76931807596466</v>
      </c>
      <c r="W271" s="548">
        <f t="shared" si="23"/>
        <v>123.59962035525486</v>
      </c>
      <c r="X271" s="548">
        <f t="shared" si="23"/>
        <v>119.89163174459721</v>
      </c>
      <c r="Y271" s="569">
        <f t="shared" si="23"/>
        <v>120.97065643029858</v>
      </c>
      <c r="Z271" s="500"/>
    </row>
    <row r="272" spans="1:32" x14ac:dyDescent="0.3">
      <c r="D272" s="500"/>
      <c r="E272" s="383" t="s">
        <v>670</v>
      </c>
      <c r="F272" s="579">
        <f t="shared" ref="F272" si="24">G272</f>
        <v>0.82664675013662059</v>
      </c>
      <c r="G272" s="570">
        <f>H272</f>
        <v>0.82664675013662059</v>
      </c>
      <c r="H272" s="570">
        <f t="shared" ref="H272:I272" si="25">I272</f>
        <v>0.82664675013662059</v>
      </c>
      <c r="I272" s="570">
        <f t="shared" si="25"/>
        <v>0.82664675013662059</v>
      </c>
      <c r="J272" s="570">
        <f>K272</f>
        <v>0.82664675013662059</v>
      </c>
      <c r="K272" s="570">
        <f t="shared" ref="K272:L272" si="26">L272</f>
        <v>0.82664675013662059</v>
      </c>
      <c r="L272" s="570">
        <f t="shared" si="26"/>
        <v>0.82664675013662059</v>
      </c>
      <c r="M272" s="570">
        <f>N272</f>
        <v>0.82664675013662059</v>
      </c>
      <c r="N272" s="570">
        <f t="shared" ref="N272:O272" si="27">O272</f>
        <v>0.82664675013662059</v>
      </c>
      <c r="O272" s="570">
        <f t="shared" si="27"/>
        <v>0.82664675013662059</v>
      </c>
      <c r="P272" s="570">
        <f>Q272</f>
        <v>0.82664675013662059</v>
      </c>
      <c r="Q272" s="570">
        <f t="shared" ref="Q272:R272" si="28">R272</f>
        <v>0.82664675013662059</v>
      </c>
      <c r="R272" s="570">
        <f t="shared" si="28"/>
        <v>0.82664675013662059</v>
      </c>
      <c r="S272" s="570">
        <f>T272</f>
        <v>0.82664675013662059</v>
      </c>
      <c r="T272" s="570">
        <f t="shared" ref="T272:U272" si="29">U272</f>
        <v>0.82664675013662059</v>
      </c>
      <c r="U272" s="570">
        <f t="shared" si="29"/>
        <v>0.82664675013662059</v>
      </c>
      <c r="V272" s="570">
        <f>W272</f>
        <v>0.82664675013662059</v>
      </c>
      <c r="W272" s="570">
        <f>X272</f>
        <v>0.82664675013662059</v>
      </c>
      <c r="X272" s="570">
        <f>Y272</f>
        <v>0.82664675013662059</v>
      </c>
      <c r="Y272" s="571">
        <f>100/Y271</f>
        <v>0.82664675013662059</v>
      </c>
      <c r="Z272" s="500"/>
    </row>
    <row r="273" spans="1:27" x14ac:dyDescent="0.3">
      <c r="E273" s="572" t="s">
        <v>496</v>
      </c>
      <c r="F273" s="580">
        <f>F272*F271</f>
        <v>82.664675013662062</v>
      </c>
      <c r="G273" s="573">
        <f>G272*G271</f>
        <v>81.507369563470789</v>
      </c>
      <c r="H273" s="573">
        <f>H272*H271</f>
        <v>83.056009585176739</v>
      </c>
      <c r="I273" s="573">
        <f t="shared" ref="I273:L273" si="30">I272*I271</f>
        <v>82.225449489324973</v>
      </c>
      <c r="J273" s="573">
        <f t="shared" si="30"/>
        <v>81.649871342899687</v>
      </c>
      <c r="K273" s="573">
        <f t="shared" si="30"/>
        <v>82.548019927671575</v>
      </c>
      <c r="L273" s="573">
        <f t="shared" si="30"/>
        <v>86.262680824416805</v>
      </c>
      <c r="M273" s="573">
        <f>M272*M271</f>
        <v>88.678035887500471</v>
      </c>
      <c r="N273" s="573">
        <f>N272*N271</f>
        <v>92.668547502437988</v>
      </c>
      <c r="O273" s="573">
        <f>O272*O271</f>
        <v>96.3752894025355</v>
      </c>
      <c r="P273" s="573">
        <f t="shared" ref="P273" si="31">P272*P271</f>
        <v>104.75993958055609</v>
      </c>
      <c r="Q273" s="573">
        <f t="shared" ref="Q273" si="32">Q272*Q271</f>
        <v>96.06486459536994</v>
      </c>
      <c r="R273" s="573">
        <f t="shared" ref="R273" si="33">R272*R271</f>
        <v>99.811394314589364</v>
      </c>
      <c r="S273" s="573">
        <f>S272*S271</f>
        <v>109.59291095741912</v>
      </c>
      <c r="T273" s="573">
        <f>T272*T271</f>
        <v>108.16820311497267</v>
      </c>
      <c r="U273" s="573">
        <f>U272*U271</f>
        <v>108.49270772431758</v>
      </c>
      <c r="V273" s="573">
        <f t="shared" ref="V273" si="34">V272*V271</f>
        <v>108.92667855521485</v>
      </c>
      <c r="W273" s="573">
        <f t="shared" ref="W273" si="35">W272*W271</f>
        <v>102.17322448479153</v>
      </c>
      <c r="X273" s="573">
        <f t="shared" ref="X273" si="36">X272*X271</f>
        <v>99.108027750247771</v>
      </c>
      <c r="Y273" s="574">
        <f t="shared" ref="Y273" si="37">Y272*Y271</f>
        <v>100</v>
      </c>
    </row>
    <row r="274" spans="1:27" ht="15" thickBot="1" x14ac:dyDescent="0.35">
      <c r="E274" s="575" t="s">
        <v>649</v>
      </c>
      <c r="F274" s="581">
        <f>F273/100</f>
        <v>0.82664675013662059</v>
      </c>
      <c r="G274" s="576">
        <f>G273/100</f>
        <v>0.81507369563470788</v>
      </c>
      <c r="H274" s="576">
        <f t="shared" ref="H274:Y274" si="38">H273/100</f>
        <v>0.83056009585176738</v>
      </c>
      <c r="I274" s="576">
        <f t="shared" si="38"/>
        <v>0.82225449489324975</v>
      </c>
      <c r="J274" s="576">
        <f t="shared" si="38"/>
        <v>0.81649871342899683</v>
      </c>
      <c r="K274" s="576">
        <f t="shared" si="38"/>
        <v>0.82548019927671579</v>
      </c>
      <c r="L274" s="576">
        <f t="shared" si="38"/>
        <v>0.86262680824416804</v>
      </c>
      <c r="M274" s="576">
        <f t="shared" si="38"/>
        <v>0.88678035887500473</v>
      </c>
      <c r="N274" s="576">
        <f t="shared" si="38"/>
        <v>0.92668547502437992</v>
      </c>
      <c r="O274" s="576">
        <f t="shared" si="38"/>
        <v>0.96375289402535502</v>
      </c>
      <c r="P274" s="576">
        <f t="shared" si="38"/>
        <v>1.0475993958055609</v>
      </c>
      <c r="Q274" s="576">
        <f t="shared" si="38"/>
        <v>0.96064864595369936</v>
      </c>
      <c r="R274" s="576">
        <f t="shared" si="38"/>
        <v>0.99811394314589363</v>
      </c>
      <c r="S274" s="576">
        <f t="shared" si="38"/>
        <v>1.0959291095741912</v>
      </c>
      <c r="T274" s="576">
        <f t="shared" si="38"/>
        <v>1.0816820311497266</v>
      </c>
      <c r="U274" s="576">
        <f t="shared" si="38"/>
        <v>1.0849270772431758</v>
      </c>
      <c r="V274" s="576">
        <f t="shared" si="38"/>
        <v>1.0892667855521485</v>
      </c>
      <c r="W274" s="576">
        <f t="shared" si="38"/>
        <v>1.0217322448479154</v>
      </c>
      <c r="X274" s="576">
        <f t="shared" si="38"/>
        <v>0.99108027750247774</v>
      </c>
      <c r="Y274" s="577">
        <f t="shared" si="38"/>
        <v>1</v>
      </c>
    </row>
    <row r="275" spans="1:27" ht="15" thickBot="1" x14ac:dyDescent="0.35">
      <c r="Z275" s="62"/>
    </row>
    <row r="276" spans="1:27" s="500" customFormat="1" ht="15" thickBot="1" x14ac:dyDescent="0.35">
      <c r="E276" s="582" t="s">
        <v>676</v>
      </c>
      <c r="F276" s="584">
        <f>F266/F274</f>
        <v>183.87539777405382</v>
      </c>
      <c r="G276" s="584">
        <f>G266/G274</f>
        <v>189.92147682971827</v>
      </c>
      <c r="H276" s="584">
        <f t="shared" ref="H276:Y276" si="39">H266/H274</f>
        <v>202.51394310908378</v>
      </c>
      <c r="I276" s="584">
        <f t="shared" si="39"/>
        <v>196.89767706410518</v>
      </c>
      <c r="J276" s="584">
        <f t="shared" si="39"/>
        <v>179.54712921020226</v>
      </c>
      <c r="K276" s="584">
        <f t="shared" si="39"/>
        <v>188.61748608437131</v>
      </c>
      <c r="L276" s="584">
        <f t="shared" si="39"/>
        <v>198.46357470441785</v>
      </c>
      <c r="M276" s="584">
        <f t="shared" si="39"/>
        <v>208.84540139674505</v>
      </c>
      <c r="N276" s="584">
        <f t="shared" si="39"/>
        <v>228.664423594667</v>
      </c>
      <c r="O276" s="584">
        <f t="shared" si="39"/>
        <v>253.38445312473991</v>
      </c>
      <c r="P276" s="584">
        <f t="shared" si="39"/>
        <v>259.45032145708421</v>
      </c>
      <c r="Q276" s="584">
        <f t="shared" si="39"/>
        <v>229.63650750894027</v>
      </c>
      <c r="R276" s="584">
        <f t="shared" si="39"/>
        <v>240.05275314040756</v>
      </c>
      <c r="S276" s="584">
        <f t="shared" si="39"/>
        <v>245.5450791927183</v>
      </c>
      <c r="T276" s="584">
        <f t="shared" si="39"/>
        <v>245.35861034679911</v>
      </c>
      <c r="U276" s="584">
        <f t="shared" si="39"/>
        <v>241.58305705301598</v>
      </c>
      <c r="V276" s="584">
        <f t="shared" si="39"/>
        <v>253.65686686199999</v>
      </c>
      <c r="W276" s="584">
        <f t="shared" si="39"/>
        <v>266.1166869999999</v>
      </c>
      <c r="X276" s="584">
        <f t="shared" si="39"/>
        <v>271.9255</v>
      </c>
      <c r="Y276" s="584">
        <f t="shared" si="39"/>
        <v>283.3</v>
      </c>
      <c r="Z276" s="62"/>
    </row>
    <row r="277" spans="1:27" ht="15" thickBot="1" x14ac:dyDescent="0.35">
      <c r="E277" s="500"/>
      <c r="F277" s="500"/>
      <c r="G277" s="500"/>
      <c r="H277" s="500"/>
      <c r="I277" s="500"/>
      <c r="J277" s="500"/>
      <c r="K277" s="500"/>
      <c r="L277" s="500"/>
      <c r="M277" s="500"/>
      <c r="N277" s="500"/>
      <c r="O277" s="500"/>
      <c r="P277" s="500"/>
      <c r="Q277" s="500"/>
      <c r="R277" s="500"/>
      <c r="S277" s="500"/>
      <c r="T277" s="500"/>
      <c r="U277" s="500"/>
      <c r="V277" s="500"/>
      <c r="W277" s="500"/>
      <c r="X277" s="500"/>
      <c r="Y277" s="500"/>
      <c r="Z277" s="62"/>
    </row>
    <row r="278" spans="1:27" s="500" customFormat="1" x14ac:dyDescent="0.3">
      <c r="E278" s="553" t="s">
        <v>677</v>
      </c>
      <c r="F278" s="554"/>
      <c r="G278" s="561" t="s">
        <v>652</v>
      </c>
      <c r="H278" s="559"/>
      <c r="I278" s="560" t="s">
        <v>653</v>
      </c>
      <c r="Z278" s="62"/>
    </row>
    <row r="279" spans="1:27" s="500" customFormat="1" ht="15" thickBot="1" x14ac:dyDescent="0.35">
      <c r="E279" s="549">
        <f>(F276+G276+H276)/3</f>
        <v>192.10360590428527</v>
      </c>
      <c r="F279" s="414"/>
      <c r="G279" s="562">
        <f>(W276+X276+Y276)/3</f>
        <v>273.78072900000001</v>
      </c>
      <c r="H279" s="414"/>
      <c r="I279" s="557">
        <f>((G279/E279)^(1/17))-1</f>
        <v>2.1059431149278218E-2</v>
      </c>
      <c r="Z279" s="62"/>
    </row>
    <row r="280" spans="1:27" s="500" customFormat="1" x14ac:dyDescent="0.3">
      <c r="A280" s="500" t="s">
        <v>660</v>
      </c>
      <c r="Z280" s="62"/>
    </row>
    <row r="281" spans="1:27" s="500" customFormat="1" x14ac:dyDescent="0.3">
      <c r="Z281" s="62"/>
    </row>
    <row r="282" spans="1:27" s="500" customFormat="1" x14ac:dyDescent="0.3">
      <c r="E282" s="6" t="s">
        <v>666</v>
      </c>
      <c r="Z282" s="71"/>
    </row>
    <row r="283" spans="1:27" s="500" customFormat="1" x14ac:dyDescent="0.3">
      <c r="A283" s="500" t="s">
        <v>684</v>
      </c>
      <c r="B283" s="543">
        <v>2.4500000000000001E-2</v>
      </c>
      <c r="C283" s="92" t="s">
        <v>224</v>
      </c>
      <c r="E283" s="71" t="s">
        <v>667</v>
      </c>
      <c r="F283" s="71"/>
      <c r="G283" s="71"/>
      <c r="H283" s="92" t="s">
        <v>275</v>
      </c>
      <c r="I283" s="71" t="s">
        <v>678</v>
      </c>
      <c r="J283" s="167" t="s">
        <v>683</v>
      </c>
      <c r="K283" s="71"/>
      <c r="L283" s="71"/>
      <c r="M283" s="71"/>
      <c r="N283" s="71"/>
      <c r="O283" s="71"/>
      <c r="P283" s="71"/>
      <c r="Q283" s="71"/>
      <c r="R283" s="71"/>
      <c r="S283" s="71"/>
      <c r="T283" s="71"/>
      <c r="U283" s="71"/>
      <c r="V283" s="71"/>
      <c r="W283" s="71"/>
      <c r="X283" s="71"/>
      <c r="Y283" s="71"/>
    </row>
    <row r="284" spans="1:27" s="500" customFormat="1" x14ac:dyDescent="0.3">
      <c r="E284" s="563"/>
      <c r="F284" s="564" t="s">
        <v>662</v>
      </c>
      <c r="G284" s="564" t="s">
        <v>663</v>
      </c>
      <c r="H284" s="564" t="s">
        <v>664</v>
      </c>
      <c r="I284" s="564" t="s">
        <v>665</v>
      </c>
      <c r="J284" s="564" t="s">
        <v>642</v>
      </c>
      <c r="K284" s="71"/>
      <c r="L284" s="71"/>
      <c r="M284" s="71"/>
      <c r="N284" s="71"/>
      <c r="O284" s="71"/>
      <c r="P284" s="71"/>
      <c r="Q284" s="71"/>
      <c r="R284" s="71"/>
      <c r="S284" s="71"/>
      <c r="T284" s="71"/>
      <c r="U284" s="71"/>
      <c r="V284" s="71"/>
      <c r="W284" s="71"/>
      <c r="X284" s="71"/>
      <c r="Y284" s="71"/>
      <c r="Z284" s="71"/>
    </row>
    <row r="285" spans="1:27" x14ac:dyDescent="0.3">
      <c r="D285" s="500"/>
      <c r="E285" s="564">
        <v>1998</v>
      </c>
      <c r="F285" s="133">
        <v>80.77</v>
      </c>
      <c r="G285" s="133">
        <v>80.16</v>
      </c>
      <c r="H285" s="133">
        <v>79.28</v>
      </c>
      <c r="I285" s="133">
        <v>78.77</v>
      </c>
      <c r="J285" s="133">
        <f>SUM(F285:I285)/4</f>
        <v>79.745000000000005</v>
      </c>
    </row>
    <row r="286" spans="1:27" x14ac:dyDescent="0.3">
      <c r="D286" s="500"/>
      <c r="E286" s="564">
        <v>1999</v>
      </c>
      <c r="F286" s="133">
        <v>78.5</v>
      </c>
      <c r="G286" s="133">
        <v>78.44</v>
      </c>
      <c r="H286" s="133">
        <v>78.62</v>
      </c>
      <c r="I286" s="133">
        <v>79.010000000000005</v>
      </c>
      <c r="J286" s="133">
        <f t="shared" ref="J286:J290" si="40">SUM(F286:I286)/4</f>
        <v>78.642499999999998</v>
      </c>
    </row>
    <row r="287" spans="1:27" x14ac:dyDescent="0.3">
      <c r="D287" s="500"/>
      <c r="E287" s="564">
        <v>2000</v>
      </c>
      <c r="F287" s="133">
        <v>79.41</v>
      </c>
      <c r="G287" s="133">
        <v>80.02</v>
      </c>
      <c r="H287" s="133">
        <v>80.260000000000005</v>
      </c>
      <c r="I287" s="133">
        <v>80.37</v>
      </c>
      <c r="J287" s="133">
        <f t="shared" si="40"/>
        <v>80.015000000000001</v>
      </c>
      <c r="AA287" s="62"/>
    </row>
    <row r="288" spans="1:27" s="500" customFormat="1" x14ac:dyDescent="0.3">
      <c r="E288" s="564">
        <v>2015</v>
      </c>
      <c r="F288" s="133">
        <v>92.83</v>
      </c>
      <c r="G288" s="133">
        <v>92.36</v>
      </c>
      <c r="H288" s="133">
        <v>90.88</v>
      </c>
      <c r="I288" s="133">
        <v>88.99</v>
      </c>
      <c r="J288" s="133">
        <f t="shared" si="40"/>
        <v>91.265000000000001</v>
      </c>
      <c r="K288" s="71"/>
      <c r="L288" s="71"/>
      <c r="M288" s="71"/>
      <c r="N288" s="71"/>
      <c r="O288" s="71"/>
      <c r="P288" s="71"/>
      <c r="Q288" s="71"/>
      <c r="R288" s="71"/>
      <c r="S288" s="71"/>
      <c r="T288" s="71"/>
      <c r="U288" s="71"/>
      <c r="V288" s="71"/>
      <c r="W288" s="71"/>
      <c r="X288" s="71"/>
      <c r="Y288" s="71"/>
      <c r="Z288" s="71"/>
      <c r="AA288" s="62"/>
    </row>
    <row r="289" spans="1:26" x14ac:dyDescent="0.3">
      <c r="E289" s="564">
        <v>2016</v>
      </c>
      <c r="F289" s="133">
        <v>86.57</v>
      </c>
      <c r="G289" s="133">
        <v>87.75</v>
      </c>
      <c r="H289" s="133">
        <v>88.26</v>
      </c>
      <c r="I289" s="133">
        <v>88.68</v>
      </c>
      <c r="J289" s="133">
        <f t="shared" si="40"/>
        <v>87.814999999999998</v>
      </c>
    </row>
    <row r="290" spans="1:26" s="500" customFormat="1" x14ac:dyDescent="0.3">
      <c r="E290" s="564">
        <v>2017</v>
      </c>
      <c r="F290" s="133">
        <v>89.71</v>
      </c>
      <c r="G290" s="133">
        <v>89.6</v>
      </c>
      <c r="H290" s="133">
        <v>90.67</v>
      </c>
      <c r="I290" s="133">
        <v>91.93</v>
      </c>
      <c r="J290" s="133">
        <f t="shared" si="40"/>
        <v>90.477500000000006</v>
      </c>
      <c r="K290" s="71"/>
      <c r="L290" s="71"/>
      <c r="M290" s="71"/>
      <c r="N290" s="71"/>
      <c r="O290" s="71"/>
      <c r="P290" s="71"/>
      <c r="Q290" s="71"/>
      <c r="R290" s="71"/>
      <c r="S290" s="71"/>
      <c r="T290" s="71"/>
      <c r="U290" s="71"/>
      <c r="V290" s="71"/>
      <c r="W290" s="71"/>
      <c r="X290" s="71"/>
      <c r="Y290" s="71"/>
      <c r="Z290" s="71"/>
    </row>
    <row r="291" spans="1:26" ht="15" thickBot="1" x14ac:dyDescent="0.35"/>
    <row r="292" spans="1:26" ht="15" thickBot="1" x14ac:dyDescent="0.35">
      <c r="C292" s="500"/>
      <c r="E292" s="546">
        <v>1998</v>
      </c>
      <c r="F292" s="551">
        <v>1999</v>
      </c>
      <c r="G292" s="551">
        <v>2000</v>
      </c>
      <c r="H292" s="551">
        <v>2001</v>
      </c>
      <c r="I292" s="551">
        <v>2002</v>
      </c>
      <c r="J292" s="551">
        <v>2003</v>
      </c>
      <c r="K292" s="551">
        <v>2004</v>
      </c>
      <c r="L292" s="551">
        <v>2005</v>
      </c>
      <c r="M292" s="551">
        <v>2006</v>
      </c>
      <c r="N292" s="551">
        <v>2007</v>
      </c>
      <c r="O292" s="551">
        <v>2008</v>
      </c>
      <c r="P292" s="551">
        <v>2009</v>
      </c>
      <c r="Q292" s="551">
        <v>2010</v>
      </c>
      <c r="R292" s="551">
        <v>20111</v>
      </c>
      <c r="S292" s="551">
        <v>2012</v>
      </c>
      <c r="T292" s="551">
        <v>2013</v>
      </c>
      <c r="U292" s="551">
        <v>2014</v>
      </c>
      <c r="V292" s="546">
        <v>2015</v>
      </c>
      <c r="W292" s="551">
        <v>2016</v>
      </c>
      <c r="X292" s="552">
        <v>2017</v>
      </c>
    </row>
    <row r="293" spans="1:26" ht="15" thickBot="1" x14ac:dyDescent="0.35">
      <c r="C293" s="500"/>
      <c r="E293" s="568">
        <v>152</v>
      </c>
      <c r="F293" s="547">
        <v>154.80000000000001</v>
      </c>
      <c r="G293" s="544">
        <v>168.2</v>
      </c>
      <c r="H293" s="44">
        <v>161.9</v>
      </c>
      <c r="I293" s="44">
        <v>146.6</v>
      </c>
      <c r="J293" s="44">
        <v>155.69999999999999</v>
      </c>
      <c r="K293" s="44">
        <v>171.2</v>
      </c>
      <c r="L293" s="44">
        <v>185.2</v>
      </c>
      <c r="M293" s="44">
        <v>211.9</v>
      </c>
      <c r="N293" s="44">
        <v>244.2</v>
      </c>
      <c r="O293" s="44">
        <v>271.8</v>
      </c>
      <c r="P293" s="44">
        <v>220.6</v>
      </c>
      <c r="Q293" s="44">
        <v>239.6</v>
      </c>
      <c r="R293" s="44">
        <v>269.10000000000002</v>
      </c>
      <c r="S293" s="44">
        <v>265.39999999999998</v>
      </c>
      <c r="T293" s="44">
        <v>262.10000000000002</v>
      </c>
      <c r="U293" s="44">
        <v>276.3</v>
      </c>
      <c r="V293" s="308">
        <v>271.89999999999998</v>
      </c>
      <c r="W293" s="44">
        <v>269.5</v>
      </c>
      <c r="X293" s="381">
        <v>283.3</v>
      </c>
    </row>
    <row r="294" spans="1:26" ht="15" thickBot="1" x14ac:dyDescent="0.35">
      <c r="C294" s="500"/>
      <c r="E294" s="585">
        <f>E293/(J285/100)</f>
        <v>190.60756160260831</v>
      </c>
      <c r="F294" s="583">
        <f>F293/(J285/100)</f>
        <v>194.1187535268669</v>
      </c>
      <c r="G294" s="545">
        <f>G293/(J285/100)</f>
        <v>210.92231487867576</v>
      </c>
      <c r="V294" s="585">
        <f>V293/(J288/100)</f>
        <v>297.9236289924944</v>
      </c>
      <c r="W294" s="583">
        <f>W293/(J289/100)</f>
        <v>306.89517736149861</v>
      </c>
      <c r="X294" s="545">
        <f>X293/(J290/100)</f>
        <v>313.11652068193746</v>
      </c>
    </row>
    <row r="295" spans="1:26" x14ac:dyDescent="0.3">
      <c r="C295" s="500"/>
    </row>
    <row r="296" spans="1:26" ht="15" thickBot="1" x14ac:dyDescent="0.35">
      <c r="C296" s="500"/>
      <c r="F296" s="71">
        <f>SUM(E294:G294)/3</f>
        <v>198.54954333605033</v>
      </c>
      <c r="W296" s="71">
        <f>SUM(V294:X294)/3</f>
        <v>305.97844234531016</v>
      </c>
    </row>
    <row r="297" spans="1:26" x14ac:dyDescent="0.3">
      <c r="C297" s="500"/>
      <c r="E297" s="553" t="s">
        <v>651</v>
      </c>
      <c r="F297" s="554"/>
      <c r="G297" s="561" t="s">
        <v>652</v>
      </c>
      <c r="H297" s="559"/>
      <c r="I297" s="560" t="s">
        <v>653</v>
      </c>
    </row>
    <row r="298" spans="1:26" ht="15" thickBot="1" x14ac:dyDescent="0.35">
      <c r="C298" s="500"/>
      <c r="E298" s="549">
        <f>F296</f>
        <v>198.54954333605033</v>
      </c>
      <c r="F298" s="414"/>
      <c r="G298" s="562">
        <f>W296</f>
        <v>305.97844234531016</v>
      </c>
      <c r="H298" s="414"/>
      <c r="I298" s="557">
        <f>((G298/E298)^(1/17))-1</f>
        <v>2.5766116605389966E-2</v>
      </c>
    </row>
    <row r="299" spans="1:26" x14ac:dyDescent="0.3">
      <c r="C299" s="500"/>
    </row>
    <row r="300" spans="1:26" ht="21" x14ac:dyDescent="0.4">
      <c r="A300" s="615" t="s">
        <v>713</v>
      </c>
      <c r="C300" s="500"/>
    </row>
    <row r="301" spans="1:26" ht="15" thickBot="1" x14ac:dyDescent="0.35">
      <c r="A301" s="71" t="s">
        <v>685</v>
      </c>
      <c r="B301" s="92" t="s">
        <v>644</v>
      </c>
      <c r="C301" s="500"/>
    </row>
    <row r="302" spans="1:26" ht="15" thickBot="1" x14ac:dyDescent="0.35">
      <c r="A302" s="592"/>
      <c r="B302" s="616">
        <f>Y303/100</f>
        <v>1.9949999999999999E-2</v>
      </c>
      <c r="C302" s="500"/>
      <c r="E302" s="546">
        <v>1998</v>
      </c>
      <c r="F302" s="551">
        <v>1999</v>
      </c>
      <c r="G302" s="552">
        <v>2000</v>
      </c>
      <c r="H302" s="546">
        <v>2001</v>
      </c>
      <c r="I302" s="551">
        <v>2002</v>
      </c>
      <c r="J302" s="552">
        <v>2003</v>
      </c>
      <c r="K302" s="546">
        <v>2004</v>
      </c>
      <c r="L302" s="551">
        <v>2005</v>
      </c>
      <c r="M302" s="552">
        <v>2006</v>
      </c>
      <c r="N302" s="546">
        <v>2007</v>
      </c>
      <c r="O302" s="551">
        <v>2008</v>
      </c>
      <c r="P302" s="552">
        <v>2009</v>
      </c>
      <c r="Q302" s="546">
        <v>2010</v>
      </c>
      <c r="R302" s="551">
        <v>2011</v>
      </c>
      <c r="S302" s="552">
        <v>2012</v>
      </c>
      <c r="T302" s="546">
        <v>2013</v>
      </c>
      <c r="U302" s="551">
        <v>2014</v>
      </c>
      <c r="V302" s="552">
        <v>2015</v>
      </c>
      <c r="W302" s="546">
        <v>2016</v>
      </c>
      <c r="X302" s="552">
        <v>2017</v>
      </c>
      <c r="Y302" s="6" t="s">
        <v>642</v>
      </c>
    </row>
    <row r="303" spans="1:26" ht="15" thickBot="1" x14ac:dyDescent="0.35">
      <c r="C303" s="500"/>
      <c r="E303" s="304">
        <v>3.3</v>
      </c>
      <c r="F303" s="414">
        <v>3.2</v>
      </c>
      <c r="G303" s="414">
        <v>3.5</v>
      </c>
      <c r="H303" s="414">
        <v>2.8</v>
      </c>
      <c r="I303" s="414">
        <v>2.5</v>
      </c>
      <c r="J303" s="414">
        <v>3.3</v>
      </c>
      <c r="K303" s="414">
        <v>2.2999999999999998</v>
      </c>
      <c r="L303" s="414">
        <v>3.1</v>
      </c>
      <c r="M303" s="414">
        <v>2.5</v>
      </c>
      <c r="N303" s="414">
        <v>2.5</v>
      </c>
      <c r="O303" s="414">
        <v>-0.3</v>
      </c>
      <c r="P303" s="414">
        <v>-4.2</v>
      </c>
      <c r="Q303" s="414">
        <v>1.7</v>
      </c>
      <c r="R303" s="414">
        <v>1.6</v>
      </c>
      <c r="S303" s="414">
        <v>1.4</v>
      </c>
      <c r="T303" s="414">
        <v>2</v>
      </c>
      <c r="U303" s="414">
        <v>2.9</v>
      </c>
      <c r="V303" s="414">
        <v>2.2999999999999998</v>
      </c>
      <c r="W303" s="414">
        <v>1.8</v>
      </c>
      <c r="X303" s="382">
        <v>1.7</v>
      </c>
      <c r="Y303" s="62">
        <f>SUM(E303:X303)/20</f>
        <v>1.9949999999999999</v>
      </c>
    </row>
    <row r="304" spans="1:26" ht="15" thickBot="1" x14ac:dyDescent="0.35">
      <c r="A304" s="92" t="s">
        <v>183</v>
      </c>
      <c r="C304" s="500"/>
    </row>
    <row r="305" spans="1:24" s="6" customFormat="1" x14ac:dyDescent="0.3">
      <c r="A305" s="6" t="s">
        <v>687</v>
      </c>
      <c r="E305" s="595" t="s">
        <v>686</v>
      </c>
      <c r="F305" s="558" t="s">
        <v>688</v>
      </c>
      <c r="G305" s="558" t="s">
        <v>689</v>
      </c>
      <c r="H305" s="558" t="s">
        <v>692</v>
      </c>
      <c r="I305" s="558" t="s">
        <v>693</v>
      </c>
      <c r="J305" s="558" t="s">
        <v>694</v>
      </c>
      <c r="K305" s="558" t="s">
        <v>695</v>
      </c>
      <c r="L305" s="558" t="s">
        <v>696</v>
      </c>
      <c r="M305" s="558" t="s">
        <v>697</v>
      </c>
      <c r="N305" s="558" t="s">
        <v>698</v>
      </c>
      <c r="O305" s="558" t="s">
        <v>699</v>
      </c>
      <c r="P305" s="560" t="s">
        <v>700</v>
      </c>
    </row>
    <row r="306" spans="1:24" x14ac:dyDescent="0.3">
      <c r="A306" s="71" t="s">
        <v>690</v>
      </c>
      <c r="C306" s="500"/>
      <c r="E306" s="308">
        <v>1.6659999999999999</v>
      </c>
      <c r="F306" s="44">
        <v>1.655</v>
      </c>
      <c r="G306" s="44">
        <v>1.6859999999999999</v>
      </c>
      <c r="H306" s="44">
        <v>1.6930000000000001</v>
      </c>
      <c r="I306" s="44">
        <v>1.6659999999999999</v>
      </c>
      <c r="J306" s="44">
        <v>1.675</v>
      </c>
      <c r="K306" s="44">
        <v>1.66</v>
      </c>
      <c r="L306" s="44">
        <v>1.663</v>
      </c>
      <c r="M306" s="44">
        <v>1.7070000000000001</v>
      </c>
      <c r="N306" s="44">
        <v>1.7190000000000001</v>
      </c>
      <c r="O306" s="44">
        <v>1.6679999999999999</v>
      </c>
      <c r="P306" s="381">
        <v>1.6870000000000001</v>
      </c>
    </row>
    <row r="307" spans="1:24" ht="15" thickBot="1" x14ac:dyDescent="0.35">
      <c r="A307" s="71" t="s">
        <v>691</v>
      </c>
      <c r="E307" s="575">
        <v>1.6140000000000001</v>
      </c>
      <c r="F307" s="414">
        <v>1.6240000000000001</v>
      </c>
      <c r="G307" s="593">
        <v>1.637</v>
      </c>
      <c r="H307" s="593">
        <v>1.66</v>
      </c>
      <c r="I307" s="414">
        <v>1.621</v>
      </c>
      <c r="J307" s="593">
        <v>1.629</v>
      </c>
      <c r="K307" s="593">
        <v>1.63</v>
      </c>
      <c r="L307" s="414">
        <v>1.6160000000000001</v>
      </c>
      <c r="M307" s="593">
        <v>1.657</v>
      </c>
      <c r="N307" s="593">
        <v>1.6679999999999999</v>
      </c>
      <c r="O307" s="414">
        <v>1.651</v>
      </c>
      <c r="P307" s="594">
        <v>1.6519999999999999</v>
      </c>
    </row>
    <row r="308" spans="1:24" ht="15" thickBot="1" x14ac:dyDescent="0.35">
      <c r="A308" s="71" t="s">
        <v>702</v>
      </c>
      <c r="E308" s="585">
        <f>(E306+E307)/2</f>
        <v>1.6400000000000001</v>
      </c>
      <c r="F308" s="583">
        <f>(F306+F307)/2</f>
        <v>1.6395</v>
      </c>
      <c r="G308" s="583">
        <f t="shared" ref="G308:P308" si="41">(G306+G307)/2</f>
        <v>1.6615</v>
      </c>
      <c r="H308" s="583">
        <f t="shared" si="41"/>
        <v>1.6764999999999999</v>
      </c>
      <c r="I308" s="583">
        <f t="shared" si="41"/>
        <v>1.6435</v>
      </c>
      <c r="J308" s="583">
        <f t="shared" si="41"/>
        <v>1.6520000000000001</v>
      </c>
      <c r="K308" s="583">
        <f t="shared" si="41"/>
        <v>1.645</v>
      </c>
      <c r="L308" s="583">
        <f t="shared" si="41"/>
        <v>1.6395</v>
      </c>
      <c r="M308" s="583">
        <f t="shared" si="41"/>
        <v>1.6819999999999999</v>
      </c>
      <c r="N308" s="583">
        <f t="shared" si="41"/>
        <v>1.6935</v>
      </c>
      <c r="O308" s="583">
        <f t="shared" si="41"/>
        <v>1.6595</v>
      </c>
      <c r="P308" s="545">
        <f t="shared" si="41"/>
        <v>1.6695</v>
      </c>
    </row>
    <row r="309" spans="1:24" x14ac:dyDescent="0.3">
      <c r="A309" s="71" t="s">
        <v>701</v>
      </c>
      <c r="B309" s="71">
        <f>SUM(E308:P308)/12</f>
        <v>1.6585000000000001</v>
      </c>
    </row>
    <row r="311" spans="1:24" ht="15" thickBot="1" x14ac:dyDescent="0.35"/>
    <row r="312" spans="1:24" x14ac:dyDescent="0.3">
      <c r="A312" s="6" t="s">
        <v>703</v>
      </c>
      <c r="E312" s="597">
        <v>1998</v>
      </c>
      <c r="F312" s="412" t="s">
        <v>1</v>
      </c>
      <c r="G312" s="412" t="s">
        <v>2</v>
      </c>
      <c r="H312" s="412" t="s">
        <v>3</v>
      </c>
      <c r="I312" s="412" t="s">
        <v>4</v>
      </c>
      <c r="J312" s="412" t="s">
        <v>5</v>
      </c>
      <c r="K312" s="412" t="s">
        <v>6</v>
      </c>
      <c r="L312" s="412" t="s">
        <v>7</v>
      </c>
      <c r="M312" s="412" t="s">
        <v>8</v>
      </c>
      <c r="N312" s="412" t="s">
        <v>9</v>
      </c>
      <c r="O312" s="412" t="s">
        <v>10</v>
      </c>
      <c r="P312" s="412" t="s">
        <v>11</v>
      </c>
      <c r="Q312" s="412" t="s">
        <v>12</v>
      </c>
      <c r="R312" s="412" t="s">
        <v>13</v>
      </c>
      <c r="S312" s="412" t="s">
        <v>14</v>
      </c>
      <c r="T312" s="412" t="s">
        <v>15</v>
      </c>
      <c r="U312" s="412" t="s">
        <v>16</v>
      </c>
      <c r="V312" s="412" t="s">
        <v>17</v>
      </c>
      <c r="W312" s="412" t="s">
        <v>18</v>
      </c>
      <c r="X312" s="598">
        <v>2017</v>
      </c>
    </row>
    <row r="313" spans="1:24" x14ac:dyDescent="0.3">
      <c r="A313" s="71" t="s">
        <v>704</v>
      </c>
      <c r="E313" s="596">
        <v>100111</v>
      </c>
      <c r="F313" s="61">
        <v>102352</v>
      </c>
      <c r="G313" s="61">
        <v>112834</v>
      </c>
      <c r="H313" s="61">
        <v>113941</v>
      </c>
      <c r="I313" s="596">
        <v>114766</v>
      </c>
      <c r="J313" s="61">
        <v>111623</v>
      </c>
      <c r="K313" s="61">
        <v>112324</v>
      </c>
      <c r="L313" s="61">
        <v>121920</v>
      </c>
      <c r="M313" s="596">
        <v>153387</v>
      </c>
      <c r="N313" s="61">
        <v>128176</v>
      </c>
      <c r="O313" s="61">
        <v>142404</v>
      </c>
      <c r="P313" s="61">
        <v>125664</v>
      </c>
      <c r="Q313" s="596">
        <v>144508</v>
      </c>
      <c r="R313" s="61">
        <v>162883</v>
      </c>
      <c r="S313" s="61">
        <v>152501</v>
      </c>
      <c r="T313" s="61">
        <v>151223</v>
      </c>
      <c r="U313" s="596">
        <v>146872</v>
      </c>
      <c r="V313" s="61">
        <v>133664</v>
      </c>
      <c r="W313" s="61">
        <v>142705</v>
      </c>
      <c r="X313" s="61">
        <v>164081</v>
      </c>
    </row>
    <row r="314" spans="1:24" s="500" customFormat="1" x14ac:dyDescent="0.3">
      <c r="A314" s="500" t="s">
        <v>705</v>
      </c>
      <c r="E314" s="603">
        <f>E313/1000</f>
        <v>100.111</v>
      </c>
      <c r="F314" s="604">
        <f>F313/1000</f>
        <v>102.352</v>
      </c>
      <c r="G314" s="604">
        <f t="shared" ref="G314:X314" si="42">G313/1000</f>
        <v>112.834</v>
      </c>
      <c r="H314" s="604">
        <f t="shared" si="42"/>
        <v>113.941</v>
      </c>
      <c r="I314" s="604">
        <f t="shared" si="42"/>
        <v>114.76600000000001</v>
      </c>
      <c r="J314" s="604">
        <f t="shared" si="42"/>
        <v>111.623</v>
      </c>
      <c r="K314" s="604">
        <f t="shared" si="42"/>
        <v>112.324</v>
      </c>
      <c r="L314" s="604">
        <f t="shared" si="42"/>
        <v>121.92</v>
      </c>
      <c r="M314" s="604">
        <f t="shared" si="42"/>
        <v>153.387</v>
      </c>
      <c r="N314" s="604">
        <f t="shared" si="42"/>
        <v>128.17599999999999</v>
      </c>
      <c r="O314" s="604">
        <f t="shared" si="42"/>
        <v>142.404</v>
      </c>
      <c r="P314" s="604">
        <f t="shared" si="42"/>
        <v>125.664</v>
      </c>
      <c r="Q314" s="604">
        <f t="shared" si="42"/>
        <v>144.50800000000001</v>
      </c>
      <c r="R314" s="604">
        <f t="shared" si="42"/>
        <v>162.88300000000001</v>
      </c>
      <c r="S314" s="604">
        <f t="shared" si="42"/>
        <v>152.501</v>
      </c>
      <c r="T314" s="604">
        <f t="shared" si="42"/>
        <v>151.22300000000001</v>
      </c>
      <c r="U314" s="604">
        <f t="shared" si="42"/>
        <v>146.87200000000001</v>
      </c>
      <c r="V314" s="604">
        <f t="shared" si="42"/>
        <v>133.66399999999999</v>
      </c>
      <c r="W314" s="604">
        <f t="shared" si="42"/>
        <v>142.70500000000001</v>
      </c>
      <c r="X314" s="605">
        <f t="shared" si="42"/>
        <v>164.08099999999999</v>
      </c>
    </row>
    <row r="315" spans="1:24" s="500" customFormat="1" x14ac:dyDescent="0.3">
      <c r="A315" s="500" t="s">
        <v>706</v>
      </c>
      <c r="E315" s="596">
        <v>152</v>
      </c>
      <c r="F315" s="61">
        <v>154.80000000000001</v>
      </c>
      <c r="G315" s="61">
        <v>168.2</v>
      </c>
      <c r="H315" s="61">
        <v>161.9</v>
      </c>
      <c r="I315" s="61">
        <v>146.6</v>
      </c>
      <c r="J315" s="61">
        <v>155.69999999999999</v>
      </c>
      <c r="K315" s="61">
        <v>171.2</v>
      </c>
      <c r="L315" s="61">
        <v>185.2</v>
      </c>
      <c r="M315" s="61">
        <v>211.9</v>
      </c>
      <c r="N315" s="61">
        <v>244.2</v>
      </c>
      <c r="O315" s="61">
        <v>271.8</v>
      </c>
      <c r="P315" s="61">
        <v>220.6</v>
      </c>
      <c r="Q315" s="61">
        <v>239.6</v>
      </c>
      <c r="R315" s="61">
        <v>269.10000000000002</v>
      </c>
      <c r="S315" s="61">
        <v>265.39999999999998</v>
      </c>
      <c r="T315" s="61">
        <v>262.10000000000002</v>
      </c>
      <c r="U315" s="61">
        <v>276.3</v>
      </c>
      <c r="V315" s="61">
        <v>271.89999999999998</v>
      </c>
      <c r="W315" s="61">
        <v>269.5</v>
      </c>
      <c r="X315" s="601">
        <v>283.3</v>
      </c>
    </row>
    <row r="316" spans="1:24" s="500" customFormat="1" x14ac:dyDescent="0.3">
      <c r="A316" s="500" t="s">
        <v>726</v>
      </c>
      <c r="E316" s="599">
        <v>1.6585000000000001</v>
      </c>
      <c r="F316" s="17">
        <v>1.6180000000000001</v>
      </c>
      <c r="G316" s="17">
        <v>1.5149999999999999</v>
      </c>
      <c r="H316" s="17">
        <v>1.44</v>
      </c>
      <c r="I316" s="17">
        <v>1.5</v>
      </c>
      <c r="J316" s="17">
        <v>1.635</v>
      </c>
      <c r="K316" s="17">
        <v>1.833</v>
      </c>
      <c r="L316" s="17">
        <v>1.82</v>
      </c>
      <c r="M316" s="17">
        <v>1.843</v>
      </c>
      <c r="N316" s="17">
        <v>2.0019999999999998</v>
      </c>
      <c r="O316" s="17">
        <v>1.855</v>
      </c>
      <c r="P316" s="17">
        <v>1.5649999999999999</v>
      </c>
      <c r="Q316" s="17">
        <v>1.546</v>
      </c>
      <c r="R316" s="17">
        <v>1.6040000000000001</v>
      </c>
      <c r="S316" s="17">
        <v>1.585</v>
      </c>
      <c r="T316" s="17">
        <v>1.5649999999999999</v>
      </c>
      <c r="U316" s="17">
        <v>1.6479999999999999</v>
      </c>
      <c r="V316" s="17">
        <v>1.5289999999999999</v>
      </c>
      <c r="W316" s="17">
        <v>1.3560000000000001</v>
      </c>
      <c r="X316" s="600">
        <v>1.2889999999999999</v>
      </c>
    </row>
    <row r="317" spans="1:24" ht="15" thickBot="1" x14ac:dyDescent="0.35">
      <c r="A317" s="71" t="s">
        <v>707</v>
      </c>
      <c r="E317" s="606">
        <f>F266/B309</f>
        <v>91.649080494422662</v>
      </c>
      <c r="F317" s="607">
        <f t="shared" ref="F317:K317" si="43">F315/F316</f>
        <v>95.673671199011125</v>
      </c>
      <c r="G317" s="607">
        <f t="shared" si="43"/>
        <v>111.02310231023102</v>
      </c>
      <c r="H317" s="607">
        <f t="shared" si="43"/>
        <v>112.43055555555556</v>
      </c>
      <c r="I317" s="607">
        <f t="shared" si="43"/>
        <v>97.733333333333334</v>
      </c>
      <c r="J317" s="607">
        <f t="shared" si="43"/>
        <v>95.229357798165125</v>
      </c>
      <c r="K317" s="607">
        <f t="shared" si="43"/>
        <v>93.398799781778507</v>
      </c>
      <c r="L317" s="607">
        <f t="shared" ref="L317:N317" si="44">L315/L316</f>
        <v>101.75824175824175</v>
      </c>
      <c r="M317" s="607">
        <f t="shared" si="44"/>
        <v>114.97558328811721</v>
      </c>
      <c r="N317" s="607">
        <f t="shared" si="44"/>
        <v>121.97802197802199</v>
      </c>
      <c r="O317" s="607">
        <f t="shared" ref="O317" si="45">O315/O316</f>
        <v>146.52291105121296</v>
      </c>
      <c r="P317" s="607">
        <f t="shared" ref="P317" si="46">P315/P316</f>
        <v>140.95846645367413</v>
      </c>
      <c r="Q317" s="607">
        <f t="shared" ref="Q317" si="47">Q315/Q316</f>
        <v>154.98059508408795</v>
      </c>
      <c r="R317" s="607">
        <f t="shared" ref="R317" si="48">R315/R316</f>
        <v>167.76807980049875</v>
      </c>
      <c r="S317" s="607">
        <f t="shared" ref="S317" si="49">S315/S316</f>
        <v>167.44479495268138</v>
      </c>
      <c r="T317" s="607">
        <f t="shared" ref="T317" si="50">T315/T316</f>
        <v>167.47603833865816</v>
      </c>
      <c r="U317" s="607">
        <f t="shared" ref="U317" si="51">U315/U316</f>
        <v>167.65776699029126</v>
      </c>
      <c r="V317" s="607">
        <f t="shared" ref="V317" si="52">V315/V316</f>
        <v>177.8286461739699</v>
      </c>
      <c r="W317" s="607">
        <f t="shared" ref="W317" si="53">W315/W316</f>
        <v>198.74631268436576</v>
      </c>
      <c r="X317" s="608">
        <f t="shared" ref="X317" si="54">X315/X316</f>
        <v>219.78277734678048</v>
      </c>
    </row>
    <row r="319" spans="1:24" ht="15" thickBot="1" x14ac:dyDescent="0.35">
      <c r="A319" s="71" t="s">
        <v>708</v>
      </c>
    </row>
    <row r="320" spans="1:24" x14ac:dyDescent="0.3">
      <c r="D320" s="71" t="s">
        <v>48</v>
      </c>
      <c r="E320" s="597">
        <v>1998</v>
      </c>
      <c r="F320" s="412" t="s">
        <v>1</v>
      </c>
      <c r="G320" s="412" t="s">
        <v>2</v>
      </c>
      <c r="H320" s="412" t="s">
        <v>3</v>
      </c>
      <c r="I320" s="412" t="s">
        <v>4</v>
      </c>
      <c r="J320" s="412" t="s">
        <v>5</v>
      </c>
      <c r="K320" s="412" t="s">
        <v>6</v>
      </c>
      <c r="L320" s="412" t="s">
        <v>7</v>
      </c>
      <c r="M320" s="412" t="s">
        <v>8</v>
      </c>
      <c r="N320" s="412" t="s">
        <v>9</v>
      </c>
      <c r="O320" s="412" t="s">
        <v>10</v>
      </c>
      <c r="P320" s="412" t="s">
        <v>11</v>
      </c>
      <c r="Q320" s="412" t="s">
        <v>12</v>
      </c>
      <c r="R320" s="412" t="s">
        <v>13</v>
      </c>
      <c r="S320" s="412" t="s">
        <v>14</v>
      </c>
      <c r="T320" s="412" t="s">
        <v>15</v>
      </c>
      <c r="U320" s="412" t="s">
        <v>16</v>
      </c>
      <c r="V320" s="412" t="s">
        <v>17</v>
      </c>
      <c r="W320" s="412" t="s">
        <v>18</v>
      </c>
      <c r="X320" s="598">
        <v>2017</v>
      </c>
    </row>
    <row r="321" spans="1:24" x14ac:dyDescent="0.3">
      <c r="A321" s="71" t="s">
        <v>709</v>
      </c>
      <c r="D321" s="71" t="s">
        <v>711</v>
      </c>
      <c r="E321" s="308">
        <f>E314</f>
        <v>100.111</v>
      </c>
      <c r="F321" s="44">
        <f>F314</f>
        <v>102.352</v>
      </c>
      <c r="G321" s="44">
        <f t="shared" ref="G321:X321" si="55">G314</f>
        <v>112.834</v>
      </c>
      <c r="H321" s="44">
        <f t="shared" si="55"/>
        <v>113.941</v>
      </c>
      <c r="I321" s="44">
        <f t="shared" si="55"/>
        <v>114.76600000000001</v>
      </c>
      <c r="J321" s="44">
        <f t="shared" si="55"/>
        <v>111.623</v>
      </c>
      <c r="K321" s="44">
        <f t="shared" si="55"/>
        <v>112.324</v>
      </c>
      <c r="L321" s="44">
        <f t="shared" si="55"/>
        <v>121.92</v>
      </c>
      <c r="M321" s="44">
        <f t="shared" si="55"/>
        <v>153.387</v>
      </c>
      <c r="N321" s="44">
        <f t="shared" si="55"/>
        <v>128.17599999999999</v>
      </c>
      <c r="O321" s="44">
        <f t="shared" si="55"/>
        <v>142.404</v>
      </c>
      <c r="P321" s="44">
        <f t="shared" si="55"/>
        <v>125.664</v>
      </c>
      <c r="Q321" s="44">
        <f t="shared" si="55"/>
        <v>144.50800000000001</v>
      </c>
      <c r="R321" s="44">
        <f t="shared" si="55"/>
        <v>162.88300000000001</v>
      </c>
      <c r="S321" s="44">
        <f t="shared" si="55"/>
        <v>152.501</v>
      </c>
      <c r="T321" s="44">
        <f t="shared" si="55"/>
        <v>151.22300000000001</v>
      </c>
      <c r="U321" s="44">
        <f t="shared" si="55"/>
        <v>146.87200000000001</v>
      </c>
      <c r="V321" s="44">
        <f t="shared" si="55"/>
        <v>133.66399999999999</v>
      </c>
      <c r="W321" s="44">
        <f t="shared" si="55"/>
        <v>142.70500000000001</v>
      </c>
      <c r="X321" s="381">
        <f t="shared" si="55"/>
        <v>164.08099999999999</v>
      </c>
    </row>
    <row r="322" spans="1:24" ht="15" thickBot="1" x14ac:dyDescent="0.35">
      <c r="A322" s="71" t="s">
        <v>710</v>
      </c>
      <c r="D322" s="71" t="s">
        <v>712</v>
      </c>
      <c r="E322" s="549">
        <f>E317</f>
        <v>91.649080494422662</v>
      </c>
      <c r="F322" s="550">
        <f>F317</f>
        <v>95.673671199011125</v>
      </c>
      <c r="G322" s="550">
        <f t="shared" ref="G322:X322" si="56">G317</f>
        <v>111.02310231023102</v>
      </c>
      <c r="H322" s="550">
        <f t="shared" si="56"/>
        <v>112.43055555555556</v>
      </c>
      <c r="I322" s="550">
        <f t="shared" si="56"/>
        <v>97.733333333333334</v>
      </c>
      <c r="J322" s="550">
        <f t="shared" si="56"/>
        <v>95.229357798165125</v>
      </c>
      <c r="K322" s="550">
        <f t="shared" si="56"/>
        <v>93.398799781778507</v>
      </c>
      <c r="L322" s="550">
        <f t="shared" si="56"/>
        <v>101.75824175824175</v>
      </c>
      <c r="M322" s="550">
        <f t="shared" si="56"/>
        <v>114.97558328811721</v>
      </c>
      <c r="N322" s="550">
        <f t="shared" si="56"/>
        <v>121.97802197802199</v>
      </c>
      <c r="O322" s="550">
        <f t="shared" si="56"/>
        <v>146.52291105121296</v>
      </c>
      <c r="P322" s="550">
        <f t="shared" si="56"/>
        <v>140.95846645367413</v>
      </c>
      <c r="Q322" s="550">
        <f t="shared" si="56"/>
        <v>154.98059508408795</v>
      </c>
      <c r="R322" s="550">
        <f t="shared" si="56"/>
        <v>167.76807980049875</v>
      </c>
      <c r="S322" s="550">
        <f t="shared" si="56"/>
        <v>167.44479495268138</v>
      </c>
      <c r="T322" s="550">
        <f t="shared" si="56"/>
        <v>167.47603833865816</v>
      </c>
      <c r="U322" s="550">
        <f t="shared" si="56"/>
        <v>167.65776699029126</v>
      </c>
      <c r="V322" s="550">
        <f t="shared" si="56"/>
        <v>177.8286461739699</v>
      </c>
      <c r="W322" s="550">
        <f t="shared" si="56"/>
        <v>198.74631268436576</v>
      </c>
      <c r="X322" s="602">
        <f t="shared" si="56"/>
        <v>219.78277734678048</v>
      </c>
    </row>
    <row r="325" spans="1:24" x14ac:dyDescent="0.3">
      <c r="U325" s="71" t="s">
        <v>714</v>
      </c>
      <c r="W325" s="71">
        <f>SUM(V321:X321)/3</f>
        <v>146.81666666666669</v>
      </c>
    </row>
    <row r="326" spans="1:24" x14ac:dyDescent="0.3">
      <c r="U326" s="71" t="s">
        <v>715</v>
      </c>
      <c r="W326" s="71">
        <f>SUM(V322:X322)/3</f>
        <v>198.78591206837203</v>
      </c>
    </row>
    <row r="327" spans="1:24" x14ac:dyDescent="0.3">
      <c r="U327" s="71" t="s">
        <v>716</v>
      </c>
      <c r="W327" s="71">
        <f>W326-W325</f>
        <v>51.969245401705336</v>
      </c>
    </row>
    <row r="328" spans="1:24" x14ac:dyDescent="0.3">
      <c r="U328" s="71" t="s">
        <v>717</v>
      </c>
      <c r="W328" s="543">
        <f>(W327/W325)</f>
        <v>0.35397374549918487</v>
      </c>
    </row>
    <row r="340" spans="1:24" s="615" customFormat="1" ht="21" x14ac:dyDescent="0.4">
      <c r="A340" s="615" t="s">
        <v>746</v>
      </c>
    </row>
    <row r="341" spans="1:24" ht="18" x14ac:dyDescent="0.35">
      <c r="A341" s="204" t="s">
        <v>743</v>
      </c>
    </row>
    <row r="342" spans="1:24" x14ac:dyDescent="0.3">
      <c r="A342" s="71" t="s">
        <v>744</v>
      </c>
      <c r="B342" s="6">
        <v>1998</v>
      </c>
      <c r="C342" s="6">
        <v>2017</v>
      </c>
      <c r="D342" s="6" t="s">
        <v>653</v>
      </c>
      <c r="E342" s="6" t="s">
        <v>748</v>
      </c>
    </row>
    <row r="343" spans="1:24" x14ac:dyDescent="0.3">
      <c r="B343" s="62">
        <f>B138</f>
        <v>128.67737789203085</v>
      </c>
      <c r="C343" s="62">
        <f>U138</f>
        <v>147.42228212039532</v>
      </c>
      <c r="D343" s="640">
        <f>((B343/C343)^(1/19))-1</f>
        <v>-7.1319623440355695E-3</v>
      </c>
      <c r="E343" s="71" t="s">
        <v>747</v>
      </c>
    </row>
    <row r="344" spans="1:24" s="500" customFormat="1" x14ac:dyDescent="0.3">
      <c r="B344" s="62"/>
      <c r="C344" s="62"/>
      <c r="D344" s="640"/>
      <c r="E344" s="500" t="s">
        <v>745</v>
      </c>
    </row>
    <row r="345" spans="1:24" s="500" customFormat="1" x14ac:dyDescent="0.3">
      <c r="B345" s="62"/>
      <c r="C345" s="62"/>
      <c r="D345" s="640"/>
      <c r="E345" s="6">
        <v>1998</v>
      </c>
      <c r="F345" s="6">
        <v>1999</v>
      </c>
      <c r="G345" s="6">
        <v>2000</v>
      </c>
      <c r="H345" s="6">
        <v>2001</v>
      </c>
      <c r="I345" s="6">
        <v>2002</v>
      </c>
      <c r="J345" s="6">
        <v>2003</v>
      </c>
      <c r="K345" s="6">
        <v>2004</v>
      </c>
      <c r="L345" s="6">
        <v>2005</v>
      </c>
      <c r="M345" s="6">
        <v>2006</v>
      </c>
      <c r="N345" s="6">
        <v>2007</v>
      </c>
      <c r="O345" s="6">
        <v>2008</v>
      </c>
      <c r="P345" s="6">
        <v>2009</v>
      </c>
      <c r="Q345" s="6">
        <v>2010</v>
      </c>
      <c r="R345" s="6">
        <v>2011</v>
      </c>
      <c r="S345" s="6">
        <v>2012</v>
      </c>
      <c r="T345" s="6">
        <v>2013</v>
      </c>
      <c r="U345" s="6">
        <v>2014</v>
      </c>
      <c r="V345" s="6">
        <v>2015</v>
      </c>
      <c r="W345" s="6">
        <v>2016</v>
      </c>
      <c r="X345" s="6">
        <v>2017</v>
      </c>
    </row>
    <row r="346" spans="1:24" x14ac:dyDescent="0.3">
      <c r="F346" s="71">
        <v>1.00732</v>
      </c>
      <c r="G346" s="500">
        <v>1.00732</v>
      </c>
      <c r="H346" s="500">
        <v>1.00732</v>
      </c>
      <c r="I346" s="500">
        <v>1.00732</v>
      </c>
      <c r="J346" s="500">
        <v>1.00732</v>
      </c>
      <c r="K346" s="500">
        <v>1.00732</v>
      </c>
      <c r="L346" s="500">
        <v>1.00732</v>
      </c>
      <c r="M346" s="500">
        <v>1.00732</v>
      </c>
      <c r="N346" s="500">
        <v>1.00732</v>
      </c>
      <c r="O346" s="500">
        <v>1.00732</v>
      </c>
      <c r="P346" s="500">
        <v>1.00732</v>
      </c>
      <c r="Q346" s="500">
        <v>1.00732</v>
      </c>
      <c r="R346" s="500">
        <v>1.00732</v>
      </c>
      <c r="S346" s="500">
        <v>1.00732</v>
      </c>
      <c r="T346" s="500">
        <v>1.00732</v>
      </c>
      <c r="U346" s="500">
        <v>1.00732</v>
      </c>
      <c r="V346" s="500">
        <v>1.00732</v>
      </c>
      <c r="W346" s="500">
        <v>1.00732</v>
      </c>
      <c r="X346" s="500">
        <v>1.00732</v>
      </c>
    </row>
    <row r="347" spans="1:24" x14ac:dyDescent="0.3">
      <c r="E347" s="71">
        <v>128.68</v>
      </c>
      <c r="F347" s="71">
        <f>E347*F346</f>
        <v>129.6219376</v>
      </c>
      <c r="G347" s="71">
        <f>F347*G346</f>
        <v>130.57077018323199</v>
      </c>
      <c r="H347" s="500">
        <f>G347*H346</f>
        <v>131.52654822097324</v>
      </c>
      <c r="I347" s="500">
        <f>H347*1.007132</f>
        <v>132.46459556288522</v>
      </c>
      <c r="J347" s="500">
        <f>I347*J346</f>
        <v>133.43423640240553</v>
      </c>
      <c r="K347" s="500">
        <f t="shared" ref="K347:M347" si="57">J347*K346</f>
        <v>134.41097501287115</v>
      </c>
      <c r="L347" s="500">
        <f t="shared" si="57"/>
        <v>135.39486334996536</v>
      </c>
      <c r="M347" s="500">
        <f t="shared" si="57"/>
        <v>136.3859537496871</v>
      </c>
      <c r="N347" s="500">
        <f t="shared" ref="N347" si="58">M347*1.007132</f>
        <v>137.35865837182985</v>
      </c>
      <c r="O347" s="500">
        <f>N347*O346</f>
        <v>138.36412375111163</v>
      </c>
      <c r="P347" s="500">
        <f t="shared" ref="P347:R347" si="59">O347*P346</f>
        <v>139.37694913696978</v>
      </c>
      <c r="Q347" s="500">
        <f t="shared" si="59"/>
        <v>140.39718840465241</v>
      </c>
      <c r="R347" s="500">
        <f t="shared" si="59"/>
        <v>141.42489582377448</v>
      </c>
      <c r="S347" s="500">
        <f t="shared" ref="S347" si="60">R347*1.007132</f>
        <v>142.43353818078961</v>
      </c>
      <c r="T347" s="500">
        <f>S347*T346</f>
        <v>143.47615168027298</v>
      </c>
      <c r="U347" s="500">
        <f t="shared" ref="U347:W347" si="61">T347*U346</f>
        <v>144.52639711057259</v>
      </c>
      <c r="V347" s="500">
        <f t="shared" si="61"/>
        <v>145.58433033742199</v>
      </c>
      <c r="W347" s="500">
        <f t="shared" si="61"/>
        <v>146.6500076354919</v>
      </c>
      <c r="X347" s="500">
        <f t="shared" ref="X347" si="62">W347*1.007132</f>
        <v>147.69591548994822</v>
      </c>
    </row>
  </sheetData>
  <mergeCells count="6">
    <mergeCell ref="A204:M204"/>
    <mergeCell ref="A195:J195"/>
    <mergeCell ref="A2:M2"/>
    <mergeCell ref="A3:M3"/>
    <mergeCell ref="A81:I81"/>
    <mergeCell ref="A51:I51"/>
  </mergeCells>
  <hyperlinks>
    <hyperlink ref="D189" r:id="rId1" xr:uid="{790E9005-F2FE-4AA0-AA66-0389EF8FA33C}"/>
    <hyperlink ref="A150" r:id="rId2" display="Source" xr:uid="{90D6BDE5-9EA1-4B07-B6DC-3A0752133B8B}"/>
    <hyperlink ref="D190" r:id="rId3" xr:uid="{DD9DC0F0-BE12-4B17-9767-667F289CB010}"/>
    <hyperlink ref="A202" r:id="rId4" xr:uid="{CC6094E3-F0C0-4833-A873-2CB0B583B169}"/>
    <hyperlink ref="A203" r:id="rId5" xr:uid="{E176FADE-99C8-40FC-A149-DDC7C782B3D6}"/>
    <hyperlink ref="E226" r:id="rId6" xr:uid="{75E19C2B-CF81-4647-B983-CCA4176D0ADB}"/>
    <hyperlink ref="E227" r:id="rId7" xr:uid="{B61A0652-DAD1-41FB-8F40-FFEE669EDA77}"/>
    <hyperlink ref="A208" r:id="rId8" xr:uid="{0B4F281D-9CD9-457B-AB55-0584BB8BAA7E}"/>
    <hyperlink ref="A250" r:id="rId9" xr:uid="{763EC9FE-ACBA-46C0-9938-CD2E2E7CD34A}"/>
    <hyperlink ref="A251" r:id="rId10" xr:uid="{9E26E490-56EB-4FCB-9D7D-00D0A76F9267}"/>
    <hyperlink ref="W177" r:id="rId11" xr:uid="{CE13DE0E-CF37-4AEB-B9C9-9F8260B98DF5}"/>
    <hyperlink ref="W183" r:id="rId12" xr:uid="{94418D0A-05BA-486E-95B3-A38DDFCEDB88}"/>
    <hyperlink ref="W184" r:id="rId13" xr:uid="{D1A24406-2B9C-439F-90AF-3F03F83E3DF9}"/>
    <hyperlink ref="W178" r:id="rId14" xr:uid="{B937C916-54D0-417D-9567-5FC491B27845}"/>
    <hyperlink ref="A3:M3" r:id="rId15" display="Sources: ONS " xr:uid="{B245793E-B761-4301-8F84-C19C1ED3A23E}"/>
    <hyperlink ref="G259" r:id="rId16" xr:uid="{767B7DF9-E4BB-4CA8-8E94-BC479C83B230}"/>
    <hyperlink ref="G264" r:id="rId17" xr:uid="{D028E6A5-8699-431E-B544-6BA43CA11516}"/>
    <hyperlink ref="AA267" r:id="rId18" xr:uid="{31B9F69C-566C-4EB7-9E2E-72C30CDBDB53}"/>
    <hyperlink ref="C259" r:id="rId19" xr:uid="{0918688B-7C24-44D6-942A-E268E2CA72A6}"/>
    <hyperlink ref="J264" r:id="rId20" xr:uid="{AAA3658A-5995-4E82-AACE-3D0146FE6D93}"/>
    <hyperlink ref="H283" r:id="rId21" xr:uid="{880C79CD-2AB5-4B69-8D36-C2D16885BC8D}"/>
    <hyperlink ref="C283" r:id="rId22" xr:uid="{17C1BA3C-5279-49A5-8500-16FD5A63ADC9}"/>
    <hyperlink ref="B301" r:id="rId23" xr:uid="{2393311B-31BC-4E82-9241-E51F1A7B552F}"/>
    <hyperlink ref="A304" r:id="rId24" xr:uid="{CBC77D45-CD85-47E5-9775-E9319CDBE27E}"/>
    <hyperlink ref="A4" r:id="rId25" display="* I am indebted to Michael Burrage (It's Quite OK to Walk Away) for the data enabling this calculation. See Tab 1, Section 2" xr:uid="{67179172-C26E-4A65-9D30-5E90330A36D9}"/>
  </hyperlinks>
  <pageMargins left="0.7" right="0.7" top="0.75" bottom="0.75" header="0.3" footer="0.3"/>
  <pageSetup orientation="portrait" horizontalDpi="4294967293" verticalDpi="4294967293" r:id="rId26"/>
  <drawing r:id="rId2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C990D-81D0-4932-84C6-427CD75EFB34}">
  <dimension ref="A1:A3"/>
  <sheetViews>
    <sheetView workbookViewId="0">
      <selection activeCell="H23" sqref="H23"/>
    </sheetView>
  </sheetViews>
  <sheetFormatPr defaultRowHeight="14.4" x14ac:dyDescent="0.3"/>
  <sheetData>
    <row r="1" spans="1:1" x14ac:dyDescent="0.3">
      <c r="A1" t="s">
        <v>640</v>
      </c>
    </row>
    <row r="3" spans="1:1" x14ac:dyDescent="0.3">
      <c r="A3" t="s">
        <v>641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431E1-383C-443F-8A8F-25197AD44AB4}">
  <dimension ref="A1:T31"/>
  <sheetViews>
    <sheetView workbookViewId="0">
      <selection activeCell="L6" sqref="L6"/>
    </sheetView>
  </sheetViews>
  <sheetFormatPr defaultRowHeight="14.4" x14ac:dyDescent="0.3"/>
  <cols>
    <col min="1" max="1" width="28.5546875" style="500" customWidth="1"/>
    <col min="2" max="2" width="14" style="500" customWidth="1"/>
    <col min="3" max="3" width="15.5546875" style="500" customWidth="1"/>
    <col min="4" max="4" width="15.44140625" style="500" customWidth="1"/>
    <col min="5" max="5" width="16.77734375" style="500" customWidth="1"/>
    <col min="6" max="7" width="8.88671875" style="500"/>
    <col min="8" max="8" width="9.88671875" style="500" customWidth="1"/>
    <col min="9" max="9" width="16" style="500" customWidth="1"/>
    <col min="10" max="10" width="14.21875" style="500" customWidth="1"/>
    <col min="11" max="11" width="18.109375" style="500" customWidth="1"/>
    <col min="12" max="16384" width="8.88671875" style="500"/>
  </cols>
  <sheetData>
    <row r="1" spans="1:11" s="6" customFormat="1" x14ac:dyDescent="0.3">
      <c r="A1" s="6" t="s">
        <v>749</v>
      </c>
      <c r="B1" s="6" t="s">
        <v>759</v>
      </c>
    </row>
    <row r="2" spans="1:11" x14ac:dyDescent="0.3">
      <c r="A2" s="500" t="s">
        <v>750</v>
      </c>
      <c r="B2" s="500" t="s">
        <v>751</v>
      </c>
    </row>
    <row r="3" spans="1:11" x14ac:dyDescent="0.3">
      <c r="A3" s="500" t="s">
        <v>752</v>
      </c>
      <c r="B3" s="500" t="s">
        <v>753</v>
      </c>
    </row>
    <row r="5" spans="1:11" s="6" customFormat="1" x14ac:dyDescent="0.3">
      <c r="A5" s="45" t="s">
        <v>48</v>
      </c>
      <c r="B5" s="45" t="s">
        <v>754</v>
      </c>
      <c r="C5" s="45"/>
      <c r="D5" s="45"/>
      <c r="E5" s="45"/>
      <c r="F5" s="45"/>
      <c r="G5" s="45"/>
      <c r="H5" s="45" t="s">
        <v>760</v>
      </c>
      <c r="I5" s="45"/>
      <c r="J5" s="45"/>
      <c r="K5" s="45"/>
    </row>
    <row r="6" spans="1:11" s="6" customFormat="1" x14ac:dyDescent="0.3">
      <c r="A6" s="647"/>
      <c r="B6" s="647" t="s">
        <v>44</v>
      </c>
      <c r="C6" s="647" t="s">
        <v>43</v>
      </c>
      <c r="D6" s="647" t="s">
        <v>97</v>
      </c>
      <c r="E6" s="647" t="s">
        <v>45</v>
      </c>
      <c r="F6" s="647"/>
      <c r="G6" s="627"/>
      <c r="H6" s="647" t="s">
        <v>44</v>
      </c>
      <c r="I6" s="647" t="s">
        <v>43</v>
      </c>
      <c r="J6" s="647" t="s">
        <v>97</v>
      </c>
      <c r="K6" s="647" t="s">
        <v>45</v>
      </c>
    </row>
    <row r="7" spans="1:11" x14ac:dyDescent="0.3">
      <c r="A7" s="500" t="s">
        <v>1</v>
      </c>
      <c r="B7" s="644">
        <v>34961</v>
      </c>
      <c r="C7" s="642">
        <v>30990</v>
      </c>
      <c r="D7" s="643">
        <v>27946</v>
      </c>
      <c r="E7" s="645">
        <v>45495</v>
      </c>
      <c r="G7" s="70" t="s">
        <v>1</v>
      </c>
      <c r="H7" s="645">
        <f>B7/1000</f>
        <v>34.960999999999999</v>
      </c>
      <c r="I7" s="645">
        <f t="shared" ref="I7:K22" si="0">C7/1000</f>
        <v>30.99</v>
      </c>
      <c r="J7" s="645">
        <f t="shared" si="0"/>
        <v>27.946000000000002</v>
      </c>
      <c r="K7" s="645">
        <f t="shared" si="0"/>
        <v>45.494999999999997</v>
      </c>
    </row>
    <row r="8" spans="1:11" x14ac:dyDescent="0.3">
      <c r="A8" s="500" t="s">
        <v>2</v>
      </c>
      <c r="B8" s="644">
        <v>38002</v>
      </c>
      <c r="C8" s="642">
        <v>33736</v>
      </c>
      <c r="D8" s="643">
        <v>30781</v>
      </c>
      <c r="E8" s="645">
        <v>48675</v>
      </c>
      <c r="G8" s="70" t="s">
        <v>2</v>
      </c>
      <c r="H8" s="645">
        <f t="shared" ref="H8:H25" si="1">B8/1000</f>
        <v>38.002000000000002</v>
      </c>
      <c r="I8" s="645">
        <f t="shared" si="0"/>
        <v>33.735999999999997</v>
      </c>
      <c r="J8" s="645">
        <f t="shared" si="0"/>
        <v>30.780999999999999</v>
      </c>
      <c r="K8" s="645">
        <f t="shared" si="0"/>
        <v>48.674999999999997</v>
      </c>
    </row>
    <row r="9" spans="1:11" x14ac:dyDescent="0.3">
      <c r="A9" s="500" t="s">
        <v>3</v>
      </c>
      <c r="B9" s="644">
        <v>40814</v>
      </c>
      <c r="C9" s="642">
        <v>37182</v>
      </c>
      <c r="D9" s="643">
        <v>31791</v>
      </c>
      <c r="E9" s="645">
        <v>51837</v>
      </c>
      <c r="G9" s="70" t="s">
        <v>3</v>
      </c>
      <c r="H9" s="645">
        <f t="shared" si="1"/>
        <v>40.814</v>
      </c>
      <c r="I9" s="645">
        <f t="shared" si="0"/>
        <v>37.182000000000002</v>
      </c>
      <c r="J9" s="645">
        <f t="shared" si="0"/>
        <v>31.791</v>
      </c>
      <c r="K9" s="645">
        <f t="shared" si="0"/>
        <v>51.837000000000003</v>
      </c>
    </row>
    <row r="10" spans="1:11" x14ac:dyDescent="0.3">
      <c r="A10" s="500" t="s">
        <v>4</v>
      </c>
      <c r="B10" s="644">
        <v>43714</v>
      </c>
      <c r="C10" s="642">
        <v>38370</v>
      </c>
      <c r="D10" s="643">
        <v>33683</v>
      </c>
      <c r="E10" s="645">
        <v>55323</v>
      </c>
      <c r="G10" s="70" t="s">
        <v>4</v>
      </c>
      <c r="H10" s="645">
        <f t="shared" si="1"/>
        <v>43.713999999999999</v>
      </c>
      <c r="I10" s="645">
        <f t="shared" si="0"/>
        <v>38.369999999999997</v>
      </c>
      <c r="J10" s="645">
        <f t="shared" si="0"/>
        <v>33.683</v>
      </c>
      <c r="K10" s="645">
        <f t="shared" si="0"/>
        <v>55.323</v>
      </c>
    </row>
    <row r="11" spans="1:11" x14ac:dyDescent="0.3">
      <c r="A11" s="500" t="s">
        <v>5</v>
      </c>
      <c r="B11" s="644">
        <v>47863</v>
      </c>
      <c r="C11" s="642">
        <v>43188</v>
      </c>
      <c r="D11" s="643">
        <v>36426</v>
      </c>
      <c r="E11" s="645">
        <v>62070</v>
      </c>
      <c r="G11" s="70" t="s">
        <v>5</v>
      </c>
      <c r="H11" s="645">
        <f t="shared" si="1"/>
        <v>47.863</v>
      </c>
      <c r="I11" s="645">
        <f t="shared" si="0"/>
        <v>43.188000000000002</v>
      </c>
      <c r="J11" s="645">
        <f t="shared" si="0"/>
        <v>36.426000000000002</v>
      </c>
      <c r="K11" s="645">
        <f t="shared" si="0"/>
        <v>62.07</v>
      </c>
    </row>
    <row r="12" spans="1:11" x14ac:dyDescent="0.3">
      <c r="A12" s="500" t="s">
        <v>6</v>
      </c>
      <c r="B12" s="644">
        <v>49293</v>
      </c>
      <c r="C12" s="642">
        <v>46862</v>
      </c>
      <c r="D12" s="643">
        <v>38974</v>
      </c>
      <c r="E12" s="645">
        <v>68817</v>
      </c>
      <c r="G12" s="70" t="s">
        <v>6</v>
      </c>
      <c r="H12" s="645">
        <f t="shared" si="1"/>
        <v>49.292999999999999</v>
      </c>
      <c r="I12" s="645">
        <f t="shared" si="0"/>
        <v>46.862000000000002</v>
      </c>
      <c r="J12" s="645">
        <f t="shared" si="0"/>
        <v>38.973999999999997</v>
      </c>
      <c r="K12" s="645">
        <f t="shared" si="0"/>
        <v>68.816999999999993</v>
      </c>
    </row>
    <row r="13" spans="1:11" x14ac:dyDescent="0.3">
      <c r="A13" s="500" t="s">
        <v>7</v>
      </c>
      <c r="B13" s="644">
        <v>53193</v>
      </c>
      <c r="C13" s="642">
        <v>54949</v>
      </c>
      <c r="D13" s="643">
        <v>42583</v>
      </c>
      <c r="E13" s="645">
        <v>75327</v>
      </c>
      <c r="G13" s="70" t="s">
        <v>7</v>
      </c>
      <c r="H13" s="645">
        <f t="shared" si="1"/>
        <v>53.192999999999998</v>
      </c>
      <c r="I13" s="645">
        <f t="shared" si="0"/>
        <v>54.948999999999998</v>
      </c>
      <c r="J13" s="645">
        <f t="shared" si="0"/>
        <v>42.582999999999998</v>
      </c>
      <c r="K13" s="645">
        <f t="shared" si="0"/>
        <v>75.326999999999998</v>
      </c>
    </row>
    <row r="14" spans="1:11" x14ac:dyDescent="0.3">
      <c r="A14" s="500" t="s">
        <v>8</v>
      </c>
      <c r="B14" s="644">
        <v>56336</v>
      </c>
      <c r="C14" s="642">
        <v>59983</v>
      </c>
      <c r="D14" s="643">
        <v>47079</v>
      </c>
      <c r="E14" s="645">
        <v>86970</v>
      </c>
      <c r="G14" s="70" t="s">
        <v>8</v>
      </c>
      <c r="H14" s="645">
        <f t="shared" si="1"/>
        <v>56.335999999999999</v>
      </c>
      <c r="I14" s="645">
        <f t="shared" si="0"/>
        <v>59.982999999999997</v>
      </c>
      <c r="J14" s="645">
        <f t="shared" si="0"/>
        <v>47.079000000000001</v>
      </c>
      <c r="K14" s="645">
        <f t="shared" si="0"/>
        <v>86.97</v>
      </c>
    </row>
    <row r="15" spans="1:11" x14ac:dyDescent="0.3">
      <c r="A15" s="500" t="s">
        <v>9</v>
      </c>
      <c r="B15" s="644">
        <v>56891</v>
      </c>
      <c r="C15" s="642">
        <v>66274</v>
      </c>
      <c r="D15" s="643">
        <v>50356</v>
      </c>
      <c r="E15" s="645">
        <v>94537</v>
      </c>
      <c r="G15" s="70" t="s">
        <v>9</v>
      </c>
      <c r="H15" s="645">
        <f t="shared" si="1"/>
        <v>56.890999999999998</v>
      </c>
      <c r="I15" s="645">
        <f t="shared" si="0"/>
        <v>66.274000000000001</v>
      </c>
      <c r="J15" s="645">
        <f t="shared" si="0"/>
        <v>50.356000000000002</v>
      </c>
      <c r="K15" s="645">
        <f t="shared" si="0"/>
        <v>94.537000000000006</v>
      </c>
    </row>
    <row r="16" spans="1:11" x14ac:dyDescent="0.3">
      <c r="A16" s="500" t="s">
        <v>10</v>
      </c>
      <c r="B16" s="644">
        <v>60973</v>
      </c>
      <c r="C16" s="642">
        <v>69952</v>
      </c>
      <c r="D16" s="643">
        <v>56522</v>
      </c>
      <c r="E16" s="645">
        <v>100206</v>
      </c>
      <c r="G16" s="70" t="s">
        <v>10</v>
      </c>
      <c r="H16" s="645">
        <f t="shared" si="1"/>
        <v>60.972999999999999</v>
      </c>
      <c r="I16" s="645">
        <f t="shared" si="0"/>
        <v>69.951999999999998</v>
      </c>
      <c r="J16" s="645">
        <f t="shared" si="0"/>
        <v>56.521999999999998</v>
      </c>
      <c r="K16" s="645">
        <f t="shared" si="0"/>
        <v>100.206</v>
      </c>
    </row>
    <row r="17" spans="1:20" x14ac:dyDescent="0.3">
      <c r="A17" s="500" t="s">
        <v>11</v>
      </c>
      <c r="B17" s="644">
        <v>59434</v>
      </c>
      <c r="C17" s="642">
        <v>70500</v>
      </c>
      <c r="D17" s="643">
        <v>58241</v>
      </c>
      <c r="E17" s="645">
        <v>104155</v>
      </c>
      <c r="G17" s="70" t="s">
        <v>11</v>
      </c>
      <c r="H17" s="645">
        <f t="shared" si="1"/>
        <v>59.433999999999997</v>
      </c>
      <c r="I17" s="645">
        <f t="shared" si="0"/>
        <v>70.5</v>
      </c>
      <c r="J17" s="645">
        <f t="shared" si="0"/>
        <v>58.241</v>
      </c>
      <c r="K17" s="645">
        <f t="shared" si="0"/>
        <v>104.155</v>
      </c>
    </row>
    <row r="18" spans="1:20" x14ac:dyDescent="0.3">
      <c r="A18" s="500" t="s">
        <v>12</v>
      </c>
      <c r="B18" s="644">
        <v>58688</v>
      </c>
      <c r="C18" s="642">
        <v>73975</v>
      </c>
      <c r="D18" s="643">
        <v>60852</v>
      </c>
      <c r="E18" s="645">
        <v>106075</v>
      </c>
      <c r="G18" s="70" t="s">
        <v>12</v>
      </c>
      <c r="H18" s="645">
        <f t="shared" si="1"/>
        <v>58.688000000000002</v>
      </c>
      <c r="I18" s="645">
        <f t="shared" si="0"/>
        <v>73.974999999999994</v>
      </c>
      <c r="J18" s="645">
        <f t="shared" si="0"/>
        <v>60.851999999999997</v>
      </c>
      <c r="K18" s="645">
        <f t="shared" si="0"/>
        <v>106.075</v>
      </c>
    </row>
    <row r="19" spans="1:20" x14ac:dyDescent="0.3">
      <c r="A19" s="500" t="s">
        <v>13</v>
      </c>
      <c r="B19" s="644">
        <v>59696</v>
      </c>
      <c r="C19" s="642">
        <v>80516</v>
      </c>
      <c r="D19" s="643">
        <v>61266</v>
      </c>
      <c r="E19" s="645">
        <v>116336</v>
      </c>
      <c r="G19" s="70" t="s">
        <v>13</v>
      </c>
      <c r="H19" s="645">
        <f t="shared" si="1"/>
        <v>59.695999999999998</v>
      </c>
      <c r="I19" s="645">
        <f t="shared" si="0"/>
        <v>80.516000000000005</v>
      </c>
      <c r="J19" s="645">
        <f t="shared" si="0"/>
        <v>61.265999999999998</v>
      </c>
      <c r="K19" s="645">
        <f t="shared" si="0"/>
        <v>116.336</v>
      </c>
    </row>
    <row r="20" spans="1:20" x14ac:dyDescent="0.3">
      <c r="A20" s="500" t="s">
        <v>14</v>
      </c>
      <c r="B20" s="644">
        <v>62620</v>
      </c>
      <c r="C20" s="642">
        <v>82916</v>
      </c>
      <c r="D20" s="643">
        <v>61610</v>
      </c>
      <c r="E20" s="645">
        <v>122438</v>
      </c>
      <c r="G20" s="70" t="s">
        <v>14</v>
      </c>
      <c r="H20" s="645">
        <f t="shared" si="1"/>
        <v>62.62</v>
      </c>
      <c r="I20" s="645">
        <f t="shared" si="0"/>
        <v>82.915999999999997</v>
      </c>
      <c r="J20" s="645">
        <f t="shared" si="0"/>
        <v>61.61</v>
      </c>
      <c r="K20" s="645">
        <f t="shared" si="0"/>
        <v>122.438</v>
      </c>
    </row>
    <row r="21" spans="1:20" x14ac:dyDescent="0.3">
      <c r="A21" s="500" t="s">
        <v>15</v>
      </c>
      <c r="B21" s="644">
        <v>65515</v>
      </c>
      <c r="C21" s="642">
        <v>80948</v>
      </c>
      <c r="D21" s="643">
        <v>67667</v>
      </c>
      <c r="E21" s="645">
        <v>142188</v>
      </c>
      <c r="G21" s="70" t="s">
        <v>15</v>
      </c>
      <c r="H21" s="645">
        <f t="shared" si="1"/>
        <v>65.515000000000001</v>
      </c>
      <c r="I21" s="645">
        <f t="shared" si="0"/>
        <v>80.947999999999993</v>
      </c>
      <c r="J21" s="645">
        <f t="shared" si="0"/>
        <v>67.667000000000002</v>
      </c>
      <c r="K21" s="645">
        <f t="shared" si="0"/>
        <v>142.18799999999999</v>
      </c>
    </row>
    <row r="22" spans="1:20" x14ac:dyDescent="0.3">
      <c r="A22" s="500" t="s">
        <v>16</v>
      </c>
      <c r="B22" s="644">
        <v>66564</v>
      </c>
      <c r="C22" s="642">
        <v>90613</v>
      </c>
      <c r="D22" s="643">
        <v>68216</v>
      </c>
      <c r="E22" s="645">
        <v>136563</v>
      </c>
      <c r="G22" s="70" t="s">
        <v>16</v>
      </c>
      <c r="H22" s="645">
        <f t="shared" si="1"/>
        <v>66.563999999999993</v>
      </c>
      <c r="I22" s="645">
        <f t="shared" si="0"/>
        <v>90.613</v>
      </c>
      <c r="J22" s="645">
        <f t="shared" si="0"/>
        <v>68.215999999999994</v>
      </c>
      <c r="K22" s="645">
        <f t="shared" si="0"/>
        <v>136.56299999999999</v>
      </c>
    </row>
    <row r="23" spans="1:20" x14ac:dyDescent="0.3">
      <c r="A23" s="500" t="s">
        <v>17</v>
      </c>
      <c r="B23" s="644">
        <v>68647</v>
      </c>
      <c r="C23" s="642">
        <v>91448</v>
      </c>
      <c r="D23" s="643">
        <v>73385</v>
      </c>
      <c r="E23" s="645">
        <v>141410</v>
      </c>
      <c r="G23" s="70" t="s">
        <v>17</v>
      </c>
      <c r="H23" s="645">
        <f t="shared" si="1"/>
        <v>68.647000000000006</v>
      </c>
      <c r="I23" s="645">
        <f t="shared" ref="I23:I25" si="2">C23/1000</f>
        <v>91.447999999999993</v>
      </c>
      <c r="J23" s="645">
        <f t="shared" ref="J23:J25" si="3">D23/1000</f>
        <v>73.385000000000005</v>
      </c>
      <c r="K23" s="645">
        <f t="shared" ref="K23:K25" si="4">E23/1000</f>
        <v>141.41</v>
      </c>
    </row>
    <row r="24" spans="1:20" x14ac:dyDescent="0.3">
      <c r="A24" s="500" t="s">
        <v>18</v>
      </c>
      <c r="B24" s="644">
        <v>77993</v>
      </c>
      <c r="C24" s="642">
        <v>97740</v>
      </c>
      <c r="D24" s="643">
        <v>78130</v>
      </c>
      <c r="E24" s="645">
        <v>160148</v>
      </c>
      <c r="G24" s="70" t="s">
        <v>18</v>
      </c>
      <c r="H24" s="645">
        <f t="shared" si="1"/>
        <v>77.992999999999995</v>
      </c>
      <c r="I24" s="645">
        <f t="shared" si="2"/>
        <v>97.74</v>
      </c>
      <c r="J24" s="645">
        <f t="shared" si="3"/>
        <v>78.13</v>
      </c>
      <c r="K24" s="645">
        <f t="shared" si="4"/>
        <v>160.148</v>
      </c>
    </row>
    <row r="25" spans="1:20" x14ac:dyDescent="0.3">
      <c r="A25" s="500" t="s">
        <v>574</v>
      </c>
      <c r="B25" s="644">
        <v>80616</v>
      </c>
      <c r="C25" s="642">
        <v>117050</v>
      </c>
      <c r="D25" s="643">
        <v>84113</v>
      </c>
      <c r="E25" s="645">
        <v>161974</v>
      </c>
      <c r="G25" s="70" t="s">
        <v>574</v>
      </c>
      <c r="H25" s="645">
        <f t="shared" si="1"/>
        <v>80.616</v>
      </c>
      <c r="I25" s="645">
        <f t="shared" si="2"/>
        <v>117.05</v>
      </c>
      <c r="J25" s="645">
        <f t="shared" si="3"/>
        <v>84.113</v>
      </c>
      <c r="K25" s="645">
        <f t="shared" si="4"/>
        <v>161.97399999999999</v>
      </c>
    </row>
    <row r="27" spans="1:20" x14ac:dyDescent="0.3">
      <c r="A27" s="6" t="s">
        <v>758</v>
      </c>
      <c r="B27" s="646">
        <v>1999</v>
      </c>
      <c r="C27" s="646">
        <v>2000</v>
      </c>
      <c r="D27" s="646">
        <v>2001</v>
      </c>
      <c r="E27" s="646">
        <v>2002</v>
      </c>
      <c r="F27" s="646">
        <v>2003</v>
      </c>
      <c r="G27" s="646">
        <v>2004</v>
      </c>
      <c r="H27" s="646">
        <v>2005</v>
      </c>
      <c r="I27" s="646">
        <v>2006</v>
      </c>
      <c r="J27" s="646">
        <v>2007</v>
      </c>
      <c r="K27" s="646">
        <v>2008</v>
      </c>
      <c r="L27" s="646">
        <v>2009</v>
      </c>
      <c r="M27" s="646">
        <v>2010</v>
      </c>
      <c r="N27" s="646">
        <v>2011</v>
      </c>
      <c r="O27" s="646">
        <v>2012</v>
      </c>
      <c r="P27" s="646">
        <v>2013</v>
      </c>
      <c r="Q27" s="646">
        <v>2014</v>
      </c>
      <c r="R27" s="646">
        <v>2015</v>
      </c>
      <c r="S27" s="646">
        <v>2016</v>
      </c>
      <c r="T27" s="646">
        <v>2017</v>
      </c>
    </row>
    <row r="28" spans="1:20" x14ac:dyDescent="0.3">
      <c r="A28" s="6" t="s">
        <v>43</v>
      </c>
      <c r="B28" s="500">
        <f>I7</f>
        <v>30.99</v>
      </c>
      <c r="C28" s="500">
        <f>I8</f>
        <v>33.735999999999997</v>
      </c>
      <c r="D28" s="500">
        <f>I9</f>
        <v>37.182000000000002</v>
      </c>
      <c r="E28" s="500">
        <f>I10</f>
        <v>38.369999999999997</v>
      </c>
      <c r="F28" s="500">
        <f>I11</f>
        <v>43.188000000000002</v>
      </c>
      <c r="G28" s="500">
        <f>I12</f>
        <v>46.862000000000002</v>
      </c>
      <c r="H28" s="500">
        <f>I13</f>
        <v>54.948999999999998</v>
      </c>
      <c r="I28" s="500">
        <f>I14</f>
        <v>59.982999999999997</v>
      </c>
      <c r="J28" s="500">
        <f>I15</f>
        <v>66.274000000000001</v>
      </c>
      <c r="K28" s="500">
        <f>I16</f>
        <v>69.951999999999998</v>
      </c>
      <c r="L28" s="500">
        <f>I17</f>
        <v>70.5</v>
      </c>
      <c r="M28" s="500">
        <f>I18</f>
        <v>73.974999999999994</v>
      </c>
      <c r="N28" s="500">
        <f>I19</f>
        <v>80.516000000000005</v>
      </c>
      <c r="O28" s="500">
        <f>I20</f>
        <v>82.915999999999997</v>
      </c>
      <c r="P28" s="500">
        <f>I21</f>
        <v>80.947999999999993</v>
      </c>
      <c r="Q28" s="500">
        <f>I22</f>
        <v>90.613</v>
      </c>
      <c r="R28" s="500">
        <f>I23</f>
        <v>91.447999999999993</v>
      </c>
      <c r="S28" s="500">
        <f>I24</f>
        <v>97.74</v>
      </c>
      <c r="T28" s="500">
        <f>I25</f>
        <v>117.05</v>
      </c>
    </row>
    <row r="29" spans="1:20" x14ac:dyDescent="0.3">
      <c r="A29" s="6" t="s">
        <v>757</v>
      </c>
      <c r="B29" s="500">
        <f>H7</f>
        <v>34.960999999999999</v>
      </c>
      <c r="C29" s="500">
        <f>H8</f>
        <v>38.002000000000002</v>
      </c>
      <c r="D29" s="500">
        <f>H9</f>
        <v>40.814</v>
      </c>
      <c r="E29" s="500">
        <f>H10</f>
        <v>43.713999999999999</v>
      </c>
      <c r="F29" s="500">
        <f>H11</f>
        <v>47.863</v>
      </c>
      <c r="G29" s="500">
        <f>H12</f>
        <v>49.292999999999999</v>
      </c>
      <c r="H29" s="500">
        <f>H13</f>
        <v>53.192999999999998</v>
      </c>
      <c r="I29" s="500">
        <f>H14</f>
        <v>56.335999999999999</v>
      </c>
      <c r="J29" s="500">
        <f>H15</f>
        <v>56.890999999999998</v>
      </c>
      <c r="K29" s="500">
        <f>H16</f>
        <v>60.972999999999999</v>
      </c>
      <c r="L29" s="500">
        <f>H17</f>
        <v>59.433999999999997</v>
      </c>
      <c r="M29" s="500">
        <f>H18</f>
        <v>58.688000000000002</v>
      </c>
      <c r="N29" s="500">
        <f>H19</f>
        <v>59.695999999999998</v>
      </c>
      <c r="O29" s="500">
        <f>H20</f>
        <v>62.62</v>
      </c>
      <c r="P29" s="500">
        <f>H21</f>
        <v>65.515000000000001</v>
      </c>
      <c r="Q29" s="500">
        <f>H22</f>
        <v>66.563999999999993</v>
      </c>
      <c r="R29" s="500">
        <f>H23</f>
        <v>68.647000000000006</v>
      </c>
      <c r="S29" s="500">
        <f>H24</f>
        <v>77.992999999999995</v>
      </c>
      <c r="T29" s="500">
        <f>H25</f>
        <v>80.616</v>
      </c>
    </row>
    <row r="30" spans="1:20" x14ac:dyDescent="0.3">
      <c r="A30" s="6" t="s">
        <v>45</v>
      </c>
      <c r="B30" s="500">
        <f>K7</f>
        <v>45.494999999999997</v>
      </c>
      <c r="C30" s="500">
        <f>K8</f>
        <v>48.674999999999997</v>
      </c>
      <c r="D30" s="500">
        <f>K9</f>
        <v>51.837000000000003</v>
      </c>
      <c r="E30" s="500">
        <f>K10</f>
        <v>55.323</v>
      </c>
      <c r="F30" s="500">
        <f>K11</f>
        <v>62.07</v>
      </c>
      <c r="G30" s="500">
        <f>K12</f>
        <v>68.816999999999993</v>
      </c>
      <c r="H30" s="500">
        <f>K13</f>
        <v>75.326999999999998</v>
      </c>
      <c r="I30" s="500">
        <f>K14</f>
        <v>86.97</v>
      </c>
      <c r="J30" s="500">
        <f>K15</f>
        <v>94.537000000000006</v>
      </c>
      <c r="K30" s="500">
        <f>K16</f>
        <v>100.206</v>
      </c>
      <c r="L30" s="500">
        <f>K17</f>
        <v>104.155</v>
      </c>
      <c r="M30" s="500">
        <f>K18</f>
        <v>106.075</v>
      </c>
      <c r="N30" s="500">
        <f>K19</f>
        <v>116.336</v>
      </c>
      <c r="O30" s="500">
        <f>K20</f>
        <v>122.438</v>
      </c>
      <c r="P30" s="500">
        <f>K21</f>
        <v>142.18799999999999</v>
      </c>
      <c r="Q30" s="500">
        <f>K22</f>
        <v>136.56299999999999</v>
      </c>
      <c r="R30" s="500">
        <f>K23</f>
        <v>141.41</v>
      </c>
      <c r="S30" s="500">
        <f>K24</f>
        <v>160.148</v>
      </c>
      <c r="T30" s="500">
        <f>K25</f>
        <v>161.97399999999999</v>
      </c>
    </row>
    <row r="31" spans="1:20" x14ac:dyDescent="0.3">
      <c r="A31" s="6" t="s">
        <v>97</v>
      </c>
      <c r="B31" s="500">
        <f>J7</f>
        <v>27.946000000000002</v>
      </c>
      <c r="C31" s="500">
        <f>J8</f>
        <v>30.780999999999999</v>
      </c>
      <c r="D31" s="500">
        <f>J9</f>
        <v>31.791</v>
      </c>
      <c r="E31" s="500">
        <f>J10</f>
        <v>33.683</v>
      </c>
      <c r="F31" s="500">
        <f>J11</f>
        <v>36.426000000000002</v>
      </c>
      <c r="G31" s="500">
        <f>J12</f>
        <v>38.973999999999997</v>
      </c>
      <c r="H31" s="500">
        <f>J13</f>
        <v>42.582999999999998</v>
      </c>
      <c r="I31" s="500">
        <f>J14</f>
        <v>47.079000000000001</v>
      </c>
      <c r="J31" s="500">
        <f>J15</f>
        <v>50.356000000000002</v>
      </c>
      <c r="K31" s="500">
        <f>J16</f>
        <v>56.521999999999998</v>
      </c>
      <c r="L31" s="500">
        <f>J17</f>
        <v>58.241</v>
      </c>
      <c r="M31" s="500">
        <f>J18</f>
        <v>60.851999999999997</v>
      </c>
      <c r="N31" s="500">
        <f>J19</f>
        <v>61.265999999999998</v>
      </c>
      <c r="O31" s="500">
        <f>J20</f>
        <v>61.61</v>
      </c>
      <c r="P31" s="500">
        <f>J21</f>
        <v>67.667000000000002</v>
      </c>
      <c r="Q31" s="500">
        <f>J22</f>
        <v>68.215999999999994</v>
      </c>
      <c r="R31" s="500">
        <f>J23</f>
        <v>73.385000000000005</v>
      </c>
      <c r="S31" s="500">
        <f>J24</f>
        <v>78.13</v>
      </c>
      <c r="T31" s="500">
        <f>J25</f>
        <v>84.113</v>
      </c>
    </row>
  </sheetData>
  <pageMargins left="0.7" right="0.7" top="0.75" bottom="0.75" header="0.3" footer="0.3"/>
  <pageSetup paperSize="9" orientation="portrait" horizontalDpi="200" verticalDpi="200" copies="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74A25-EDE7-4479-9451-375CCDD46A01}">
  <dimension ref="A1:CR187"/>
  <sheetViews>
    <sheetView zoomScale="90" zoomScaleNormal="90" workbookViewId="0">
      <selection activeCell="G23" sqref="G23"/>
    </sheetView>
  </sheetViews>
  <sheetFormatPr defaultRowHeight="14.4" x14ac:dyDescent="0.3"/>
  <cols>
    <col min="1" max="1" width="42.88671875" style="91" customWidth="1"/>
    <col min="2" max="2" width="13.109375" style="91" customWidth="1"/>
    <col min="3" max="3" width="12.5546875" style="91" bestFit="1" customWidth="1"/>
    <col min="4" max="4" width="12.77734375" style="91" customWidth="1"/>
    <col min="5" max="5" width="13.109375" style="91" customWidth="1"/>
    <col min="6" max="6" width="13.33203125" style="91" customWidth="1"/>
    <col min="7" max="7" width="25.33203125" style="91" customWidth="1"/>
    <col min="8" max="8" width="12.109375" style="91" customWidth="1"/>
    <col min="9" max="9" width="11.44140625" style="91" customWidth="1"/>
    <col min="10" max="17" width="11.5546875" style="91" bestFit="1" customWidth="1"/>
    <col min="18" max="18" width="12.109375" style="91" bestFit="1" customWidth="1"/>
    <col min="19" max="20" width="11.5546875" style="91" bestFit="1" customWidth="1"/>
    <col min="21" max="21" width="8.88671875" style="91"/>
    <col min="22" max="22" width="14.109375" style="91" customWidth="1"/>
    <col min="23" max="24" width="12.33203125" style="91" customWidth="1"/>
    <col min="25" max="16384" width="8.88671875" style="91"/>
  </cols>
  <sheetData>
    <row r="1" spans="1:13" s="157" customFormat="1" ht="54" customHeight="1" x14ac:dyDescent="0.4">
      <c r="A1" s="157" t="s">
        <v>450</v>
      </c>
    </row>
    <row r="2" spans="1:13" s="157" customFormat="1" ht="94.2" customHeight="1" x14ac:dyDescent="0.4">
      <c r="A2" s="688" t="s">
        <v>516</v>
      </c>
      <c r="B2" s="688"/>
      <c r="C2" s="688"/>
      <c r="D2" s="688"/>
      <c r="E2" s="688"/>
      <c r="F2" s="688"/>
      <c r="G2" s="688"/>
      <c r="H2" s="688"/>
      <c r="I2" s="688"/>
      <c r="J2" s="688"/>
      <c r="K2" s="688"/>
      <c r="L2" s="688"/>
      <c r="M2" s="688"/>
    </row>
    <row r="3" spans="1:13" x14ac:dyDescent="0.3">
      <c r="A3" s="135" t="s">
        <v>276</v>
      </c>
      <c r="B3" s="78"/>
      <c r="E3" s="6"/>
      <c r="F3" s="78"/>
    </row>
    <row r="4" spans="1:13" ht="58.8" customHeight="1" x14ac:dyDescent="0.3">
      <c r="A4" s="681" t="s">
        <v>618</v>
      </c>
      <c r="B4" s="681"/>
      <c r="C4" s="681"/>
      <c r="D4" s="681"/>
      <c r="E4" s="681"/>
      <c r="F4" s="681"/>
      <c r="G4" s="681"/>
      <c r="H4" s="681"/>
      <c r="I4" s="681"/>
      <c r="J4" s="681"/>
      <c r="K4" s="681"/>
      <c r="L4" s="681"/>
      <c r="M4" s="681"/>
    </row>
    <row r="5" spans="1:13" x14ac:dyDescent="0.3">
      <c r="A5" s="135"/>
      <c r="B5" s="78"/>
      <c r="E5" s="6"/>
      <c r="F5" s="78"/>
    </row>
    <row r="6" spans="1:13" ht="18.600000000000001" thickBot="1" x14ac:dyDescent="0.4">
      <c r="A6" s="95" t="s">
        <v>296</v>
      </c>
      <c r="B6" s="83"/>
      <c r="C6" s="6"/>
      <c r="F6" s="9"/>
    </row>
    <row r="7" spans="1:13" x14ac:dyDescent="0.3">
      <c r="A7" s="299" t="s">
        <v>189</v>
      </c>
      <c r="B7" s="300" t="s">
        <v>128</v>
      </c>
      <c r="C7" s="301" t="s">
        <v>127</v>
      </c>
      <c r="F7" s="72"/>
    </row>
    <row r="8" spans="1:13" x14ac:dyDescent="0.3">
      <c r="A8" s="302" t="s">
        <v>452</v>
      </c>
      <c r="B8" s="57">
        <f>'Old_Core Data_Goods'!D7/1000</f>
        <v>163.99700000000001</v>
      </c>
      <c r="C8" s="303">
        <f>'Old_Core Data_Goods'!V7/1000</f>
        <v>301.40499999999997</v>
      </c>
    </row>
    <row r="9" spans="1:13" x14ac:dyDescent="0.3">
      <c r="A9" s="308" t="s">
        <v>453</v>
      </c>
      <c r="B9" s="307">
        <f>'Old_Core Data_Goods'!D29/1000</f>
        <v>149.751</v>
      </c>
      <c r="C9" s="309">
        <f>'Old_Core Data_Goods'!V29/1000</f>
        <v>270.52499999999998</v>
      </c>
    </row>
    <row r="10" spans="1:13" ht="15" thickBot="1" x14ac:dyDescent="0.35">
      <c r="A10" s="304" t="s">
        <v>451</v>
      </c>
      <c r="B10" s="305">
        <f>B8-B9</f>
        <v>14.246000000000009</v>
      </c>
      <c r="C10" s="306">
        <f>C8-C9</f>
        <v>30.879999999999995</v>
      </c>
    </row>
    <row r="11" spans="1:13" x14ac:dyDescent="0.3">
      <c r="A11" s="131"/>
      <c r="B11" s="19"/>
      <c r="E11" s="45"/>
      <c r="F11" s="81"/>
    </row>
    <row r="12" spans="1:13" x14ac:dyDescent="0.3">
      <c r="A12" s="141" t="s">
        <v>293</v>
      </c>
      <c r="B12" s="191">
        <v>1998</v>
      </c>
      <c r="C12" s="125">
        <v>2016</v>
      </c>
      <c r="E12" s="45"/>
      <c r="F12" s="81"/>
    </row>
    <row r="13" spans="1:13" x14ac:dyDescent="0.3">
      <c r="A13" s="218" t="s">
        <v>195</v>
      </c>
      <c r="B13" s="219">
        <f>B9/B8</f>
        <v>0.91313255730287746</v>
      </c>
      <c r="C13" s="220">
        <f>C9/C8</f>
        <v>0.8975464906023457</v>
      </c>
    </row>
    <row r="14" spans="1:13" x14ac:dyDescent="0.3">
      <c r="A14" s="222"/>
      <c r="B14" s="316"/>
      <c r="C14" s="316"/>
    </row>
    <row r="15" spans="1:13" x14ac:dyDescent="0.3">
      <c r="A15" s="214" t="s">
        <v>479</v>
      </c>
      <c r="B15" s="318" t="s">
        <v>137</v>
      </c>
      <c r="C15" s="318" t="s">
        <v>64</v>
      </c>
      <c r="D15" s="117" t="s">
        <v>332</v>
      </c>
    </row>
    <row r="16" spans="1:13" x14ac:dyDescent="0.3">
      <c r="A16" s="181" t="s">
        <v>295</v>
      </c>
      <c r="B16" s="319">
        <v>18.260000000000002</v>
      </c>
      <c r="C16" s="319">
        <v>21.82</v>
      </c>
      <c r="D16" s="320">
        <f>B16+C16</f>
        <v>40.08</v>
      </c>
    </row>
    <row r="17" spans="1:4" x14ac:dyDescent="0.3">
      <c r="A17" s="181" t="s">
        <v>198</v>
      </c>
      <c r="B17" s="319">
        <v>9.81</v>
      </c>
      <c r="C17" s="319">
        <v>22.35</v>
      </c>
      <c r="D17" s="321">
        <f>B17+C17</f>
        <v>32.160000000000004</v>
      </c>
    </row>
    <row r="18" spans="1:4" x14ac:dyDescent="0.3">
      <c r="A18" s="181" t="s">
        <v>130</v>
      </c>
      <c r="B18" s="319">
        <v>11.45</v>
      </c>
      <c r="C18" s="319">
        <v>14.43</v>
      </c>
      <c r="D18" s="320">
        <f t="shared" ref="D18:D25" si="0">B18+C18</f>
        <v>25.88</v>
      </c>
    </row>
    <row r="19" spans="1:4" x14ac:dyDescent="0.3">
      <c r="A19" s="181" t="s">
        <v>115</v>
      </c>
      <c r="B19" s="319">
        <v>12.08</v>
      </c>
      <c r="C19" s="320">
        <v>13.75</v>
      </c>
      <c r="D19" s="321">
        <f t="shared" si="0"/>
        <v>25.83</v>
      </c>
    </row>
    <row r="20" spans="1:4" x14ac:dyDescent="0.3">
      <c r="A20" s="181" t="s">
        <v>116</v>
      </c>
      <c r="B20" s="319">
        <v>14.71</v>
      </c>
      <c r="C20" s="319">
        <v>10.15</v>
      </c>
      <c r="D20" s="320">
        <f t="shared" si="0"/>
        <v>24.86</v>
      </c>
    </row>
    <row r="21" spans="1:4" x14ac:dyDescent="0.3">
      <c r="A21" s="181" t="s">
        <v>212</v>
      </c>
      <c r="B21" s="319">
        <v>11.59</v>
      </c>
      <c r="C21" s="319">
        <v>13.13</v>
      </c>
      <c r="D21" s="321">
        <f t="shared" si="0"/>
        <v>24.72</v>
      </c>
    </row>
    <row r="22" spans="1:4" x14ac:dyDescent="0.3">
      <c r="A22" s="181" t="s">
        <v>308</v>
      </c>
      <c r="B22" s="319">
        <v>5.21</v>
      </c>
      <c r="C22" s="319">
        <v>10.27</v>
      </c>
      <c r="D22" s="320">
        <f t="shared" si="0"/>
        <v>15.48</v>
      </c>
    </row>
    <row r="23" spans="1:4" x14ac:dyDescent="0.3">
      <c r="A23" s="181" t="s">
        <v>311</v>
      </c>
      <c r="B23" s="319">
        <v>7.91</v>
      </c>
      <c r="C23" s="319">
        <v>3.46</v>
      </c>
      <c r="D23" s="321">
        <f t="shared" si="0"/>
        <v>11.370000000000001</v>
      </c>
    </row>
    <row r="24" spans="1:4" x14ac:dyDescent="0.3">
      <c r="A24" s="181" t="s">
        <v>309</v>
      </c>
      <c r="B24" s="319">
        <v>4.8099999999999996</v>
      </c>
      <c r="C24" s="319">
        <v>5.52</v>
      </c>
      <c r="D24" s="320">
        <f t="shared" si="0"/>
        <v>10.329999999999998</v>
      </c>
    </row>
    <row r="25" spans="1:4" x14ac:dyDescent="0.3">
      <c r="A25" s="181" t="s">
        <v>310</v>
      </c>
      <c r="B25" s="319">
        <v>2.61</v>
      </c>
      <c r="C25" s="319">
        <v>4.4800000000000004</v>
      </c>
      <c r="D25" s="321">
        <f t="shared" si="0"/>
        <v>7.09</v>
      </c>
    </row>
    <row r="26" spans="1:4" x14ac:dyDescent="0.3">
      <c r="A26" s="179" t="s">
        <v>454</v>
      </c>
      <c r="B26" s="322">
        <f>B27-(SUM(B16:B25))</f>
        <v>30.5</v>
      </c>
      <c r="C26" s="322">
        <f>C27-(SUM(C16:C25))</f>
        <v>22.230000000000018</v>
      </c>
      <c r="D26" s="322">
        <f>D27-(SUM(D16:D25))</f>
        <v>52.72999999999999</v>
      </c>
    </row>
    <row r="27" spans="1:4" x14ac:dyDescent="0.3">
      <c r="A27" s="317" t="s">
        <v>197</v>
      </c>
      <c r="B27" s="330">
        <v>128.94</v>
      </c>
      <c r="C27" s="330">
        <f>141.59</f>
        <v>141.59</v>
      </c>
      <c r="D27" s="330">
        <f>B27+C27</f>
        <v>270.52999999999997</v>
      </c>
    </row>
    <row r="28" spans="1:4" x14ac:dyDescent="0.3">
      <c r="B28" s="19"/>
    </row>
    <row r="29" spans="1:4" s="6" customFormat="1" ht="18" x14ac:dyDescent="0.35">
      <c r="A29" s="204" t="s">
        <v>503</v>
      </c>
      <c r="B29" s="19"/>
    </row>
    <row r="30" spans="1:4" s="6" customFormat="1" ht="28.8" x14ac:dyDescent="0.3">
      <c r="A30" s="178">
        <v>1998</v>
      </c>
      <c r="B30" s="111" t="s">
        <v>225</v>
      </c>
      <c r="C30" s="111" t="s">
        <v>226</v>
      </c>
      <c r="D30" s="142" t="s">
        <v>193</v>
      </c>
    </row>
    <row r="31" spans="1:4" s="6" customFormat="1" x14ac:dyDescent="0.3">
      <c r="A31" s="179" t="s">
        <v>87</v>
      </c>
      <c r="B31" s="123">
        <f>B9</f>
        <v>149.751</v>
      </c>
      <c r="C31" s="123">
        <f>('Old_Core Data_Goods'!D37+'Old_Core Data_Goods'!D38)/1000</f>
        <v>319.661</v>
      </c>
      <c r="D31" s="180">
        <f>B31/B31</f>
        <v>1</v>
      </c>
    </row>
    <row r="32" spans="1:4" s="6" customFormat="1" x14ac:dyDescent="0.3">
      <c r="A32" s="181" t="s">
        <v>295</v>
      </c>
      <c r="B32" s="182">
        <f>('Old_Core Data_Goods'!D51+'Old_Core Data_Goods'!D55)/1000</f>
        <v>15.856999999999999</v>
      </c>
      <c r="C32" s="182">
        <f>('Old_Core Data_Goods'!D51+'Old_Core Data_Goods'!D52+'Old_Core Data_Goods'!D55+'Old_Core Data_Goods'!D56)/1000</f>
        <v>38.823999999999998</v>
      </c>
      <c r="D32" s="183">
        <f>B32/B31</f>
        <v>0.10588910925469612</v>
      </c>
    </row>
    <row r="33" spans="1:19" s="6" customFormat="1" x14ac:dyDescent="0.3">
      <c r="A33" s="181" t="s">
        <v>198</v>
      </c>
      <c r="B33" s="182">
        <f>('Old_Core Data_Goods'!D60+'Old_Core Data_Goods'!D64)/1000</f>
        <v>11.709</v>
      </c>
      <c r="C33" s="182">
        <f>('Old_Core Data_Goods'!D60+'Old_Core Data_Goods'!D61+'Old_Core Data_Goods'!D64+'Old_Core Data_Goods'!D65)/1000</f>
        <v>22.065000000000001</v>
      </c>
      <c r="D33" s="183">
        <f>B33/B31</f>
        <v>7.8189795059799255E-2</v>
      </c>
    </row>
    <row r="34" spans="1:19" s="6" customFormat="1" x14ac:dyDescent="0.3">
      <c r="A34" s="181" t="s">
        <v>130</v>
      </c>
      <c r="B34" s="182">
        <f>('Old_Core Data_Goods'!D69+'Old_Core Data_Goods'!D73)/1000</f>
        <v>17.771000000000001</v>
      </c>
      <c r="C34" s="182">
        <f>('Old_Core Data_Goods'!D69+'Old_Core Data_Goods'!D70+'Old_Core Data_Goods'!D73+'Old_Core Data_Goods'!D74)/1000</f>
        <v>32.613999999999997</v>
      </c>
      <c r="D34" s="183">
        <f>B34/B31</f>
        <v>0.11867032607461719</v>
      </c>
    </row>
    <row r="35" spans="1:19" s="6" customFormat="1" x14ac:dyDescent="0.3">
      <c r="A35" s="181" t="s">
        <v>115</v>
      </c>
      <c r="B35" s="182">
        <f>('Old_Core Data_Goods'!D78+'Old_Core Data_Goods'!D82)/1000</f>
        <v>6.2160000000000002</v>
      </c>
      <c r="C35" s="182">
        <f>('Old_Core Data_Goods'!D78+'Old_Core Data_Goods'!D79+'Old_Core Data_Goods'!D82+'Old_Core Data_Goods'!D83)/1000</f>
        <v>11.433999999999999</v>
      </c>
      <c r="D35" s="183">
        <f>B35/B31</f>
        <v>4.1508904781938021E-2</v>
      </c>
    </row>
    <row r="36" spans="1:19" s="6" customFormat="1" x14ac:dyDescent="0.3">
      <c r="A36" s="181" t="s">
        <v>116</v>
      </c>
      <c r="B36" s="182">
        <f>('Old_Core Data_Goods'!D87+'Old_Core Data_Goods'!D91)/1000</f>
        <v>16.193999999999999</v>
      </c>
      <c r="C36" s="182">
        <f>('Old_Core Data_Goods'!D87+'Old_Core Data_Goods'!D88+'Old_Core Data_Goods'!D91+'Old_Core Data_Goods'!D92)/1000</f>
        <v>29.463000000000001</v>
      </c>
      <c r="D36" s="183">
        <f>B36/B31</f>
        <v>0.10813951158923812</v>
      </c>
    </row>
    <row r="37" spans="1:19" s="6" customFormat="1" x14ac:dyDescent="0.3">
      <c r="A37" s="181" t="s">
        <v>212</v>
      </c>
      <c r="B37" s="182">
        <f>('Old_Core Data_Goods'!D96+'Old_Core Data_Goods'!D100)/1000</f>
        <v>31.335999999999999</v>
      </c>
      <c r="C37" s="182">
        <f>('Old_Core Data_Goods'!D96+'Old_Core Data_Goods'!D97+'Old_Core Data_Goods'!D100+'Old_Core Data_Goods'!D101)/1000</f>
        <v>64.825000000000003</v>
      </c>
      <c r="D37" s="183">
        <f>B37/B31</f>
        <v>0.20925402835373386</v>
      </c>
    </row>
    <row r="38" spans="1:19" s="6" customFormat="1" x14ac:dyDescent="0.3">
      <c r="A38" s="181" t="s">
        <v>308</v>
      </c>
      <c r="B38" s="182">
        <f>('Old_Core Data_Goods'!D105+'Old_Core Data_Goods'!D109)/1000</f>
        <v>6.0549999999999997</v>
      </c>
      <c r="C38" s="182">
        <f>('Old_Core Data_Goods'!D105+'Old_Core Data_Goods'!D106+'Old_Core Data_Goods'!D109+'Old_Core Data_Goods'!D110)/1000</f>
        <v>13.436</v>
      </c>
      <c r="D38" s="183">
        <f>B38/B31</f>
        <v>4.0433786752676108E-2</v>
      </c>
    </row>
    <row r="39" spans="1:19" s="6" customFormat="1" x14ac:dyDescent="0.3">
      <c r="A39" s="181" t="s">
        <v>311</v>
      </c>
      <c r="B39" s="182">
        <f>('Old_Core Data_Goods'!D114+'Old_Core Data_Goods'!D118)/1000</f>
        <v>5.6379999999999999</v>
      </c>
      <c r="C39" s="182">
        <f>('Old_Core Data_Goods'!D114+'Old_Core Data_Goods'!D115+'Old_Core Data_Goods'!D118+'Old_Core Data_Goods'!D119)/1000</f>
        <v>15.702</v>
      </c>
      <c r="D39" s="183">
        <f>B39/B31</f>
        <v>3.7649164279370421E-2</v>
      </c>
    </row>
    <row r="40" spans="1:19" s="6" customFormat="1" x14ac:dyDescent="0.3">
      <c r="A40" s="181" t="s">
        <v>309</v>
      </c>
      <c r="B40" s="182">
        <f>('Old_Core Data_Goods'!D123+'Old_Core Data_Goods'!D127)/1000</f>
        <v>7.17</v>
      </c>
      <c r="C40" s="182">
        <f>('Old_Core Data_Goods'!D123+'Old_Core Data_Goods'!D124+'Old_Core Data_Goods'!D127+'Old_Core Data_Goods'!D128)/1000</f>
        <v>15.173</v>
      </c>
      <c r="D40" s="183">
        <f>B40/B31</f>
        <v>4.7879479936694912E-2</v>
      </c>
    </row>
    <row r="41" spans="1:19" s="6" customFormat="1" x14ac:dyDescent="0.3">
      <c r="A41" s="181" t="s">
        <v>310</v>
      </c>
      <c r="B41" s="182">
        <f>('Old_Core Data_Goods'!D132+'Old_Core Data_Goods'!D136)/1000</f>
        <v>3.0129999999999999</v>
      </c>
      <c r="C41" s="182">
        <f>('Old_Core Data_Goods'!D132+'Old_Core Data_Goods'!D133+'Old_Core Data_Goods'!D136+'Old_Core Data_Goods'!D137)/1000</f>
        <v>5.8040000000000003</v>
      </c>
      <c r="D41" s="183">
        <f>B41/B31</f>
        <v>2.0120065976187138E-2</v>
      </c>
    </row>
    <row r="42" spans="1:19" x14ac:dyDescent="0.3">
      <c r="A42" s="179" t="s">
        <v>454</v>
      </c>
      <c r="B42" s="123">
        <f>B31-SUM(B32:B41)</f>
        <v>28.791999999999987</v>
      </c>
      <c r="C42" s="123">
        <f>C31-SUM(C32:C40)</f>
        <v>76.125000000000028</v>
      </c>
      <c r="D42" s="402">
        <f>B42/B31</f>
        <v>0.19226582794104871</v>
      </c>
      <c r="L42" s="6"/>
      <c r="M42" s="6"/>
      <c r="N42" s="6"/>
      <c r="O42" s="6"/>
      <c r="P42" s="6"/>
      <c r="Q42" s="6"/>
      <c r="R42" s="6"/>
      <c r="S42" s="6"/>
    </row>
    <row r="43" spans="1:19" x14ac:dyDescent="0.3">
      <c r="A43" s="167" t="s">
        <v>502</v>
      </c>
      <c r="L43" s="6"/>
      <c r="M43" s="6"/>
      <c r="N43" s="6"/>
      <c r="O43" s="6"/>
      <c r="P43" s="6"/>
      <c r="Q43" s="6"/>
      <c r="R43" s="6"/>
      <c r="S43" s="6"/>
    </row>
    <row r="44" spans="1:19" x14ac:dyDescent="0.3">
      <c r="L44" s="6"/>
      <c r="M44" s="6"/>
      <c r="N44" s="6"/>
      <c r="O44" s="6"/>
      <c r="P44" s="6"/>
      <c r="Q44" s="6"/>
      <c r="R44" s="6"/>
      <c r="S44" s="6"/>
    </row>
    <row r="45" spans="1:19" x14ac:dyDescent="0.3">
      <c r="L45" s="6"/>
      <c r="M45" s="6"/>
      <c r="N45" s="6"/>
      <c r="O45" s="6"/>
      <c r="P45" s="6"/>
      <c r="Q45" s="6"/>
      <c r="R45" s="6"/>
      <c r="S45" s="6"/>
    </row>
    <row r="46" spans="1:19" ht="28.8" x14ac:dyDescent="0.3">
      <c r="A46" s="178">
        <v>2016</v>
      </c>
      <c r="B46" s="111" t="s">
        <v>225</v>
      </c>
      <c r="C46" s="111" t="s">
        <v>226</v>
      </c>
      <c r="D46" s="142" t="s">
        <v>193</v>
      </c>
      <c r="L46" s="6"/>
      <c r="M46" s="6"/>
      <c r="N46" s="6"/>
      <c r="O46" s="6"/>
      <c r="P46" s="6"/>
      <c r="Q46" s="6"/>
      <c r="R46" s="6"/>
      <c r="S46" s="6"/>
    </row>
    <row r="47" spans="1:19" x14ac:dyDescent="0.3">
      <c r="A47" s="179" t="s">
        <v>87</v>
      </c>
      <c r="B47" s="123">
        <f>('Old_Core Data_Goods'!V37)/1000</f>
        <v>270.52499999999998</v>
      </c>
      <c r="C47" s="123">
        <f>('Old_Core Data_Goods'!V37+'Old_Core Data_Goods'!V38)/1000</f>
        <v>666.63300000000004</v>
      </c>
      <c r="D47" s="180">
        <f>B47/B47</f>
        <v>1</v>
      </c>
      <c r="L47" s="6"/>
      <c r="M47" s="6"/>
      <c r="N47" s="6"/>
      <c r="O47" s="6"/>
      <c r="P47" s="6"/>
      <c r="Q47" s="6"/>
      <c r="R47" s="6"/>
      <c r="S47" s="6"/>
    </row>
    <row r="48" spans="1:19" x14ac:dyDescent="0.3">
      <c r="A48" s="181" t="s">
        <v>295</v>
      </c>
      <c r="B48" s="182">
        <f>('Old_Core Data_Goods'!V51+'Old_Core Data_Goods'!V55)/1000</f>
        <v>40.073</v>
      </c>
      <c r="C48" s="182">
        <f>('Old_Core Data_Goods'!V51+'Old_Core Data_Goods'!V52+'Old_Core Data_Goods'!V55+'Old_Core Data_Goods'!V56)/1000</f>
        <v>96.638000000000005</v>
      </c>
      <c r="D48" s="183">
        <f>B48/B47</f>
        <v>0.14813048701598744</v>
      </c>
      <c r="L48" s="6"/>
      <c r="M48" s="6"/>
      <c r="N48" s="6"/>
      <c r="O48" s="6"/>
      <c r="P48" s="6"/>
      <c r="Q48" s="6"/>
      <c r="R48" s="6"/>
      <c r="S48" s="6"/>
    </row>
    <row r="49" spans="1:21" x14ac:dyDescent="0.3">
      <c r="A49" s="181" t="s">
        <v>198</v>
      </c>
      <c r="B49" s="182">
        <f>('Old_Core Data_Goods'!V60+'Old_Core Data_Goods'!V64)/1000</f>
        <v>32.154000000000003</v>
      </c>
      <c r="C49" s="182">
        <f>('Old_Core Data_Goods'!V60+'Old_Core Data_Goods'!V61+'Old_Core Data_Goods'!V64+'Old_Core Data_Goods'!V65)/1000</f>
        <v>63.475999999999999</v>
      </c>
      <c r="D49" s="183">
        <f>B49/B47</f>
        <v>0.11885777654560579</v>
      </c>
      <c r="L49" s="6"/>
      <c r="M49" s="6"/>
      <c r="N49" s="6"/>
      <c r="O49" s="6"/>
      <c r="P49" s="6"/>
      <c r="Q49" s="6"/>
      <c r="R49" s="6"/>
      <c r="S49" s="6"/>
    </row>
    <row r="50" spans="1:21" x14ac:dyDescent="0.3">
      <c r="A50" s="181" t="s">
        <v>130</v>
      </c>
      <c r="B50" s="182">
        <f>('Old_Core Data_Goods'!V69+'Old_Core Data_Goods'!V73)/1000</f>
        <v>26.885000000000002</v>
      </c>
      <c r="C50" s="182">
        <f>('Old_Core Data_Goods'!V69+'Old_Core Data_Goods'!V70+'Old_Core Data_Goods'!V73+'Old_Core Data_Goods'!V74)/1000</f>
        <v>57.030999999999999</v>
      </c>
      <c r="D50" s="183">
        <f>B50/B47</f>
        <v>9.9380833564365598E-2</v>
      </c>
      <c r="L50" s="6"/>
      <c r="M50" s="6"/>
      <c r="N50" s="6"/>
      <c r="O50" s="6"/>
      <c r="P50" s="6"/>
      <c r="Q50" s="6"/>
      <c r="R50" s="6"/>
      <c r="S50" s="6"/>
    </row>
    <row r="51" spans="1:21" x14ac:dyDescent="0.3">
      <c r="A51" s="181" t="s">
        <v>115</v>
      </c>
      <c r="B51" s="182">
        <f>('Old_Core Data_Goods'!V78+'Old_Core Data_Goods'!V82)/1000</f>
        <v>25.827999999999999</v>
      </c>
      <c r="C51" s="182">
        <f>('Old_Core Data_Goods'!V78+'Old_Core Data_Goods'!V79+'Old_Core Data_Goods'!V82+'Old_Core Data_Goods'!V83)/1000</f>
        <v>54.487000000000002</v>
      </c>
      <c r="D51" s="183">
        <f>B51/B47</f>
        <v>9.5473616116809906E-2</v>
      </c>
      <c r="L51" s="6"/>
      <c r="M51" s="6"/>
      <c r="N51" s="6"/>
      <c r="O51" s="6"/>
      <c r="P51" s="6"/>
      <c r="Q51" s="6"/>
      <c r="R51" s="6"/>
      <c r="S51" s="6"/>
    </row>
    <row r="52" spans="1:21" x14ac:dyDescent="0.3">
      <c r="A52" s="181" t="s">
        <v>179</v>
      </c>
      <c r="B52" s="182">
        <f>('Old_Core Data_Goods'!V87+'Old_Core Data_Goods'!V91)/1000</f>
        <v>24.861000000000001</v>
      </c>
      <c r="C52" s="182">
        <f>('Old_Core Data_Goods'!V87+'Old_Core Data_Goods'!V88+'Old_Core Data_Goods'!V91+'Old_Core Data_Goods'!V92)/1000</f>
        <v>49.883000000000003</v>
      </c>
      <c r="D52" s="183">
        <f>B52/B47</f>
        <v>9.1899085112281689E-2</v>
      </c>
      <c r="L52" s="6"/>
      <c r="M52" s="6"/>
      <c r="N52" s="6"/>
      <c r="O52" s="6"/>
      <c r="P52" s="6"/>
      <c r="Q52" s="6"/>
      <c r="R52" s="6"/>
      <c r="S52" s="6"/>
    </row>
    <row r="53" spans="1:21" x14ac:dyDescent="0.3">
      <c r="A53" s="181" t="s">
        <v>213</v>
      </c>
      <c r="B53" s="182">
        <f>('Old_Core Data_Goods'!V96+'Old_Core Data_Goods'!V100)/1000</f>
        <v>24.710999999999999</v>
      </c>
      <c r="C53" s="182">
        <f>('Old_Core Data_Goods'!V96+'Old_Core Data_Goods'!V97+'Old_Core Data_Goods'!V100+'Old_Core Data_Goods'!V101)/1000</f>
        <v>71.046000000000006</v>
      </c>
      <c r="D53" s="183">
        <f>B53/B47</f>
        <v>9.1344607707235931E-2</v>
      </c>
      <c r="L53" s="6"/>
      <c r="M53" s="6"/>
      <c r="N53" s="6"/>
      <c r="O53" s="6"/>
      <c r="P53" s="6"/>
      <c r="Q53" s="6"/>
      <c r="R53" s="6"/>
      <c r="S53" s="6"/>
    </row>
    <row r="54" spans="1:21" x14ac:dyDescent="0.3">
      <c r="A54" s="181" t="s">
        <v>308</v>
      </c>
      <c r="B54" s="182">
        <f>('Old_Core Data_Goods'!V105+'Old_Core Data_Goods'!V109)/1000</f>
        <v>15.477</v>
      </c>
      <c r="C54" s="182">
        <f>('Old_Core Data_Goods'!V105+'Old_Core Data_Goods'!V106+'Old_Core Data_Goods'!V109+'Old_Core Data_Goods'!V110)/1000</f>
        <v>33.615000000000002</v>
      </c>
      <c r="D54" s="183">
        <f>B54/B47</f>
        <v>5.7210978652619912E-2</v>
      </c>
      <c r="L54" s="6"/>
      <c r="M54" s="6"/>
      <c r="N54" s="6"/>
      <c r="O54" s="6"/>
      <c r="P54" s="6"/>
      <c r="Q54" s="6"/>
      <c r="R54" s="6"/>
      <c r="S54" s="6"/>
    </row>
    <row r="55" spans="1:21" x14ac:dyDescent="0.3">
      <c r="A55" s="181" t="s">
        <v>311</v>
      </c>
      <c r="B55" s="182">
        <f>('Old_Core Data_Goods'!V114+'Old_Core Data_Goods'!V118)/1000</f>
        <v>11.366</v>
      </c>
      <c r="C55" s="182">
        <f>('Old_Core Data_Goods'!V114+'Old_Core Data_Goods'!V115+'Old_Core Data_Goods'!V118+'Old_Core Data_Goods'!V119)/1000</f>
        <v>38.762</v>
      </c>
      <c r="D55" s="183">
        <f>B55/B47</f>
        <v>4.2014601238332873E-2</v>
      </c>
      <c r="L55" s="6"/>
      <c r="M55" s="6"/>
      <c r="N55" s="6"/>
      <c r="O55" s="6"/>
      <c r="P55" s="6"/>
      <c r="Q55" s="6"/>
      <c r="R55" s="6"/>
      <c r="S55" s="6"/>
    </row>
    <row r="56" spans="1:21" x14ac:dyDescent="0.3">
      <c r="A56" s="181" t="s">
        <v>309</v>
      </c>
      <c r="B56" s="182">
        <v>10.32</v>
      </c>
      <c r="C56" s="182">
        <f>('Old_Core Data_Goods'!V123+'Old_Core Data_Goods'!V124+'Old_Core Data_Goods'!V127+'Old_Core Data_Goods'!V128)/1000</f>
        <v>29.611000000000001</v>
      </c>
      <c r="D56" s="183">
        <f>B56/B47</f>
        <v>3.8148045467147215E-2</v>
      </c>
      <c r="L56" s="6"/>
      <c r="M56" s="6"/>
      <c r="N56" s="6"/>
      <c r="O56" s="6"/>
      <c r="P56" s="6"/>
      <c r="Q56" s="6"/>
      <c r="R56" s="6"/>
      <c r="S56" s="6"/>
    </row>
    <row r="57" spans="1:21" x14ac:dyDescent="0.3">
      <c r="A57" s="181" t="s">
        <v>310</v>
      </c>
      <c r="B57" s="182">
        <f>('Old_Core Data_Goods'!V132+'Old_Core Data_Goods'!V136)/1000</f>
        <v>7.085</v>
      </c>
      <c r="C57" s="182">
        <f>('Old_Core Data_Goods'!V132+'Old_Core Data_Goods'!V133+'Old_Core Data_Goods'!V136+'Old_Core Data_Goods'!V137)/1000</f>
        <v>13.393000000000001</v>
      </c>
      <c r="D57" s="183">
        <f>B57/B47</f>
        <v>2.618981609832733E-2</v>
      </c>
      <c r="L57" s="6"/>
      <c r="M57" s="6"/>
      <c r="N57" s="6"/>
      <c r="O57" s="6"/>
      <c r="P57" s="6"/>
      <c r="Q57" s="6"/>
      <c r="R57" s="6"/>
      <c r="S57" s="6"/>
    </row>
    <row r="58" spans="1:21" x14ac:dyDescent="0.3">
      <c r="A58" s="141" t="s">
        <v>454</v>
      </c>
      <c r="B58" s="122">
        <f>B47-SUM(B48:B57)</f>
        <v>51.764999999999958</v>
      </c>
      <c r="C58" s="122">
        <f>C47-(SUM(C48:C56))</f>
        <v>172.08400000000006</v>
      </c>
      <c r="D58" s="402">
        <f>B58/B47</f>
        <v>0.19135015248128626</v>
      </c>
      <c r="L58" s="6"/>
      <c r="M58" s="6"/>
      <c r="N58" s="6"/>
      <c r="O58" s="6"/>
      <c r="P58" s="6"/>
      <c r="Q58" s="6"/>
      <c r="R58" s="6"/>
      <c r="S58" s="6"/>
    </row>
    <row r="59" spans="1:21" x14ac:dyDescent="0.3">
      <c r="A59" s="310" t="s">
        <v>456</v>
      </c>
      <c r="B59" s="311">
        <v>30.9</v>
      </c>
      <c r="C59" s="18"/>
      <c r="D59" s="18"/>
      <c r="L59" s="6"/>
      <c r="M59" s="6"/>
      <c r="N59" s="6"/>
      <c r="O59" s="6"/>
      <c r="P59" s="6"/>
      <c r="Q59" s="6"/>
      <c r="R59" s="6"/>
      <c r="S59" s="6"/>
      <c r="T59" s="33"/>
    </row>
    <row r="60" spans="1:21" x14ac:dyDescent="0.3">
      <c r="B60" s="6"/>
      <c r="C60" s="18"/>
      <c r="D60" s="18"/>
      <c r="L60" s="6"/>
      <c r="M60" s="6"/>
      <c r="N60" s="6"/>
      <c r="O60" s="6"/>
      <c r="P60" s="6"/>
      <c r="Q60" s="6"/>
      <c r="R60" s="6"/>
      <c r="S60" s="6"/>
      <c r="T60" s="33"/>
    </row>
    <row r="61" spans="1:21" ht="19.2" customHeight="1" x14ac:dyDescent="0.3">
      <c r="A61" s="79" t="s">
        <v>459</v>
      </c>
      <c r="B61" s="80"/>
      <c r="C61" s="80"/>
      <c r="D61" s="18"/>
      <c r="L61" s="6"/>
      <c r="M61" s="6"/>
      <c r="N61" s="6"/>
      <c r="O61" s="6"/>
      <c r="P61" s="6"/>
      <c r="Q61" s="6"/>
      <c r="R61" s="6"/>
      <c r="S61" s="6"/>
      <c r="T61" s="33"/>
    </row>
    <row r="62" spans="1:21" s="12" customFormat="1" ht="43.2" x14ac:dyDescent="0.3">
      <c r="A62" s="210" t="s">
        <v>192</v>
      </c>
      <c r="B62" s="226" t="s">
        <v>129</v>
      </c>
      <c r="C62" s="117" t="s">
        <v>298</v>
      </c>
      <c r="D62" s="117" t="s">
        <v>297</v>
      </c>
      <c r="E62" s="227"/>
      <c r="F62" s="226" t="s">
        <v>322</v>
      </c>
      <c r="G62" s="117" t="s">
        <v>129</v>
      </c>
      <c r="H62" s="226" t="s">
        <v>299</v>
      </c>
      <c r="I62" s="117" t="s">
        <v>297</v>
      </c>
      <c r="M62" s="242"/>
      <c r="N62" s="242"/>
      <c r="O62" s="242"/>
      <c r="P62" s="242"/>
      <c r="Q62" s="242"/>
      <c r="R62" s="242"/>
      <c r="S62" s="242"/>
      <c r="T62" s="242"/>
      <c r="U62" s="228"/>
    </row>
    <row r="63" spans="1:21" x14ac:dyDescent="0.3">
      <c r="A63" s="129">
        <v>1998</v>
      </c>
      <c r="B63" s="139">
        <f>SUM(B32:B36)</f>
        <v>67.747</v>
      </c>
      <c r="C63" s="128">
        <f>B63/B31</f>
        <v>0.45239764676028871</v>
      </c>
      <c r="D63" s="229">
        <f>B63/B8</f>
        <v>0.41309902010402627</v>
      </c>
      <c r="E63" s="18"/>
      <c r="F63" s="129">
        <v>1998</v>
      </c>
      <c r="G63" s="139">
        <f>SUM(B32:B41)</f>
        <v>120.95900000000002</v>
      </c>
      <c r="H63" s="234">
        <f>G63/B31</f>
        <v>0.80773417205895126</v>
      </c>
      <c r="I63" s="202">
        <f>G63/B8</f>
        <v>0.73756837015311261</v>
      </c>
      <c r="M63" s="6"/>
      <c r="N63" s="6"/>
      <c r="O63" s="6"/>
      <c r="P63" s="6"/>
      <c r="Q63" s="6"/>
      <c r="R63" s="6"/>
      <c r="S63" s="6"/>
      <c r="T63" s="6"/>
      <c r="U63" s="33"/>
    </row>
    <row r="64" spans="1:21" x14ac:dyDescent="0.3">
      <c r="A64" s="129">
        <v>2016</v>
      </c>
      <c r="B64" s="139">
        <f>SUM(B48:B52)</f>
        <v>149.80100000000002</v>
      </c>
      <c r="C64" s="128">
        <f>B64/B47</f>
        <v>0.55374179835505044</v>
      </c>
      <c r="D64" s="170">
        <f>B64/C8</f>
        <v>0.49700900781340729</v>
      </c>
      <c r="E64" s="18"/>
      <c r="F64" s="129">
        <v>2016</v>
      </c>
      <c r="G64" s="130">
        <f>SUM(B48:B57)</f>
        <v>218.76000000000002</v>
      </c>
      <c r="H64" s="234">
        <f>G64/B47</f>
        <v>0.80864984751871372</v>
      </c>
      <c r="I64" s="202">
        <f>G64/C8</f>
        <v>0.7258008327665435</v>
      </c>
      <c r="O64" s="18"/>
      <c r="S64" s="6"/>
      <c r="T64" s="33"/>
      <c r="U64" s="33"/>
    </row>
    <row r="65" spans="1:24" x14ac:dyDescent="0.3">
      <c r="A65" s="230"/>
      <c r="B65" s="231"/>
      <c r="C65" s="205"/>
      <c r="D65" s="232"/>
      <c r="E65" s="18"/>
      <c r="F65" s="230"/>
      <c r="G65" s="233"/>
      <c r="H65" s="205"/>
      <c r="I65" s="232"/>
      <c r="O65" s="18"/>
      <c r="S65" s="6"/>
      <c r="T65" s="33"/>
      <c r="U65" s="33"/>
    </row>
    <row r="66" spans="1:24" ht="42" customHeight="1" x14ac:dyDescent="0.3">
      <c r="A66" s="690" t="s">
        <v>323</v>
      </c>
      <c r="B66" s="690"/>
      <c r="C66" s="690"/>
      <c r="D66" s="690"/>
      <c r="E66" s="690"/>
      <c r="F66" s="690"/>
      <c r="G66" s="690"/>
      <c r="H66" s="690"/>
      <c r="I66" s="690"/>
      <c r="J66" s="690"/>
      <c r="N66" s="18"/>
      <c r="R66" s="6"/>
      <c r="S66" s="33"/>
      <c r="T66" s="33"/>
    </row>
    <row r="67" spans="1:24" ht="34.200000000000003" customHeight="1" x14ac:dyDescent="0.3">
      <c r="A67" s="690" t="s">
        <v>324</v>
      </c>
      <c r="B67" s="690"/>
      <c r="C67" s="690"/>
      <c r="D67" s="690"/>
      <c r="E67" s="690"/>
      <c r="F67" s="690"/>
      <c r="G67" s="690"/>
      <c r="H67" s="690"/>
      <c r="I67" s="690"/>
      <c r="J67" s="690"/>
      <c r="N67" s="18"/>
      <c r="R67" s="6"/>
      <c r="S67" s="33"/>
      <c r="T67" s="33"/>
    </row>
    <row r="68" spans="1:24" ht="22.2" customHeight="1" x14ac:dyDescent="0.3">
      <c r="B68" s="6"/>
      <c r="C68" s="18"/>
      <c r="D68" s="18"/>
      <c r="N68" s="18"/>
      <c r="R68" s="6"/>
      <c r="S68" s="33"/>
      <c r="T68" s="33"/>
    </row>
    <row r="69" spans="1:24" s="6" customFormat="1" ht="21" customHeight="1" x14ac:dyDescent="0.3">
      <c r="A69" s="678" t="s">
        <v>291</v>
      </c>
      <c r="B69" s="678"/>
      <c r="C69" s="678"/>
      <c r="D69" s="678"/>
      <c r="E69" s="678"/>
      <c r="G69" s="19"/>
      <c r="H69" s="19"/>
      <c r="R69" s="19"/>
      <c r="W69" s="94"/>
      <c r="X69" s="94"/>
    </row>
    <row r="70" spans="1:24" s="6" customFormat="1" ht="30.6" customHeight="1" x14ac:dyDescent="0.3">
      <c r="A70" s="674" t="s">
        <v>500</v>
      </c>
      <c r="B70" s="674"/>
      <c r="C70" s="674"/>
      <c r="D70" s="674"/>
      <c r="E70" s="674"/>
      <c r="F70" s="674"/>
      <c r="G70" s="674"/>
      <c r="H70" s="674"/>
      <c r="I70" s="674"/>
      <c r="J70" s="674"/>
      <c r="R70" s="19"/>
      <c r="W70" s="94"/>
      <c r="X70" s="94"/>
    </row>
    <row r="71" spans="1:24" s="6" customFormat="1" ht="43.2" x14ac:dyDescent="0.3">
      <c r="A71" s="214" t="s">
        <v>181</v>
      </c>
      <c r="B71" s="113" t="s">
        <v>457</v>
      </c>
      <c r="C71" s="111" t="s">
        <v>458</v>
      </c>
      <c r="D71" s="113" t="s">
        <v>505</v>
      </c>
      <c r="E71" s="142" t="s">
        <v>506</v>
      </c>
      <c r="G71" s="113" t="s">
        <v>196</v>
      </c>
      <c r="H71" s="215" t="s">
        <v>65</v>
      </c>
      <c r="I71" s="212" t="s">
        <v>95</v>
      </c>
      <c r="R71" s="19"/>
      <c r="W71" s="94"/>
      <c r="X71" s="94"/>
    </row>
    <row r="72" spans="1:24" s="6" customFormat="1" x14ac:dyDescent="0.3">
      <c r="A72" s="70" t="s">
        <v>137</v>
      </c>
      <c r="B72" s="138">
        <f>B103</f>
        <v>120.38600199978892</v>
      </c>
      <c r="C72" s="120">
        <f>C103</f>
        <v>122.67337038421425</v>
      </c>
      <c r="D72" s="138">
        <f>B104</f>
        <v>126.48022822283872</v>
      </c>
      <c r="E72" s="143">
        <f>C104</f>
        <v>214.37662682293458</v>
      </c>
      <c r="G72" s="70" t="s">
        <v>96</v>
      </c>
      <c r="H72" s="160">
        <f>E103</f>
        <v>1.9000285302516698E-2</v>
      </c>
      <c r="I72" s="216">
        <f>E105</f>
        <v>0.71557028988634375</v>
      </c>
      <c r="R72" s="19"/>
      <c r="W72" s="94"/>
      <c r="X72" s="94"/>
    </row>
    <row r="73" spans="1:24" s="6" customFormat="1" x14ac:dyDescent="0.3">
      <c r="A73" s="144" t="s">
        <v>64</v>
      </c>
      <c r="B73" s="145">
        <f>B105</f>
        <v>76.765825130848953</v>
      </c>
      <c r="C73" s="146">
        <f>C105</f>
        <v>131.69716887309491</v>
      </c>
      <c r="D73" s="145">
        <f>B106</f>
        <v>92.417506393211383</v>
      </c>
      <c r="E73" s="147">
        <f>C106</f>
        <v>151.15953442545791</v>
      </c>
      <c r="G73" s="144" t="s">
        <v>86</v>
      </c>
      <c r="H73" s="190">
        <f>E104</f>
        <v>0.69494180896982505</v>
      </c>
      <c r="I73" s="217">
        <f>E106</f>
        <v>0.635615808354698</v>
      </c>
      <c r="R73" s="19"/>
      <c r="W73" s="94"/>
      <c r="X73" s="94"/>
    </row>
    <row r="74" spans="1:24" s="6" customFormat="1" ht="15.6" x14ac:dyDescent="0.3">
      <c r="A74" s="97"/>
      <c r="B74" s="20"/>
      <c r="G74" s="19"/>
      <c r="H74" s="19"/>
      <c r="R74" s="19"/>
      <c r="W74" s="94"/>
      <c r="X74" s="94"/>
    </row>
    <row r="75" spans="1:24" s="6" customFormat="1" ht="15.6" x14ac:dyDescent="0.3">
      <c r="A75" s="97"/>
      <c r="B75" s="20"/>
      <c r="G75" s="19"/>
      <c r="H75" s="19"/>
      <c r="R75" s="19"/>
      <c r="W75" s="94"/>
      <c r="X75" s="94"/>
    </row>
    <row r="76" spans="1:24" s="6" customFormat="1" ht="15.6" x14ac:dyDescent="0.3">
      <c r="A76" s="97"/>
      <c r="B76" s="20"/>
      <c r="G76" s="19"/>
      <c r="H76" s="19"/>
      <c r="R76" s="19"/>
      <c r="W76" s="94"/>
      <c r="X76" s="94"/>
    </row>
    <row r="77" spans="1:24" s="6" customFormat="1" ht="15.6" x14ac:dyDescent="0.3">
      <c r="A77" s="97"/>
      <c r="B77" s="20"/>
      <c r="G77" s="19"/>
      <c r="H77" s="19"/>
      <c r="R77" s="19"/>
      <c r="W77" s="94"/>
      <c r="X77" s="94"/>
    </row>
    <row r="78" spans="1:24" s="6" customFormat="1" ht="15.6" x14ac:dyDescent="0.3">
      <c r="A78" s="97"/>
      <c r="B78" s="20"/>
      <c r="G78" s="19"/>
      <c r="H78" s="19"/>
      <c r="R78" s="19"/>
      <c r="W78" s="94"/>
      <c r="X78" s="94"/>
    </row>
    <row r="79" spans="1:24" s="6" customFormat="1" ht="15.6" x14ac:dyDescent="0.3">
      <c r="A79" s="97"/>
      <c r="B79" s="20"/>
      <c r="F79" s="91"/>
      <c r="G79" s="19"/>
      <c r="H79" s="19"/>
      <c r="R79" s="19"/>
      <c r="W79" s="94"/>
      <c r="X79" s="94"/>
    </row>
    <row r="80" spans="1:24" x14ac:dyDescent="0.3">
      <c r="A80" s="6"/>
      <c r="B80" s="6"/>
      <c r="C80" s="6"/>
      <c r="G80" s="56"/>
      <c r="H80" s="56"/>
    </row>
    <row r="81" spans="1:23" ht="28.2" customHeight="1" x14ac:dyDescent="0.3">
      <c r="A81" s="6"/>
      <c r="B81" s="6"/>
      <c r="C81" s="6"/>
      <c r="G81" s="20"/>
      <c r="H81" s="20"/>
    </row>
    <row r="82" spans="1:23" ht="25.2" customHeight="1" x14ac:dyDescent="0.3">
      <c r="A82" s="6"/>
      <c r="B82" s="6"/>
      <c r="C82" s="6"/>
      <c r="D82" s="34"/>
      <c r="G82" s="20"/>
      <c r="H82" s="20"/>
      <c r="V82" s="91" t="s">
        <v>102</v>
      </c>
    </row>
    <row r="83" spans="1:23" ht="25.2" customHeight="1" x14ac:dyDescent="0.3">
      <c r="A83" s="6"/>
      <c r="B83" s="6"/>
      <c r="C83" s="6"/>
      <c r="D83" s="69"/>
      <c r="E83" s="35"/>
      <c r="F83" s="35"/>
    </row>
    <row r="84" spans="1:23" ht="25.2" customHeight="1" x14ac:dyDescent="0.3">
      <c r="B84" s="34"/>
      <c r="C84" s="34"/>
      <c r="D84" s="69"/>
      <c r="E84" s="35"/>
      <c r="F84" s="35"/>
      <c r="V84" s="91" t="s">
        <v>151</v>
      </c>
      <c r="W84" s="91" t="s">
        <v>152</v>
      </c>
    </row>
    <row r="85" spans="1:23" ht="25.2" customHeight="1" x14ac:dyDescent="0.3">
      <c r="B85" s="34"/>
      <c r="C85" s="34"/>
      <c r="D85" s="69"/>
      <c r="E85" s="35"/>
      <c r="F85" s="35"/>
    </row>
    <row r="86" spans="1:23" ht="25.2" customHeight="1" x14ac:dyDescent="0.3">
      <c r="A86" s="201" t="s">
        <v>287</v>
      </c>
      <c r="B86" s="34"/>
      <c r="C86" s="34"/>
      <c r="D86" s="69"/>
      <c r="E86" s="35"/>
      <c r="F86" s="35"/>
    </row>
    <row r="87" spans="1:23" ht="24.6" customHeight="1" x14ac:dyDescent="0.3">
      <c r="A87" s="213" t="s">
        <v>184</v>
      </c>
      <c r="B87" s="127" t="s">
        <v>137</v>
      </c>
      <c r="C87" s="127" t="s">
        <v>133</v>
      </c>
    </row>
    <row r="88" spans="1:23" ht="28.2" customHeight="1" x14ac:dyDescent="0.3">
      <c r="A88" s="132" t="s">
        <v>84</v>
      </c>
      <c r="B88" s="118">
        <f>F103</f>
        <v>1.1770693419523859E-3</v>
      </c>
      <c r="C88" s="118">
        <f>F105</f>
        <v>3.4309544400365599E-2</v>
      </c>
    </row>
    <row r="89" spans="1:23" ht="25.2" customHeight="1" x14ac:dyDescent="0.3">
      <c r="A89" s="132" t="s">
        <v>86</v>
      </c>
      <c r="B89" s="118">
        <f>F104</f>
        <v>3.3527827815381883E-2</v>
      </c>
      <c r="C89" s="118">
        <f>F106</f>
        <v>3.1228913471156305E-2</v>
      </c>
      <c r="U89" s="91" t="s">
        <v>102</v>
      </c>
    </row>
    <row r="90" spans="1:23" ht="25.2" customHeight="1" x14ac:dyDescent="0.3">
      <c r="A90" s="69"/>
      <c r="B90" s="115"/>
      <c r="C90" s="63"/>
    </row>
    <row r="91" spans="1:23" ht="25.2" customHeight="1" x14ac:dyDescent="0.3">
      <c r="A91" s="69"/>
      <c r="B91" s="115"/>
      <c r="C91" s="63"/>
    </row>
    <row r="92" spans="1:23" ht="25.2" customHeight="1" x14ac:dyDescent="0.3">
      <c r="A92" s="69"/>
      <c r="B92" s="115"/>
      <c r="C92" s="63"/>
    </row>
    <row r="93" spans="1:23" ht="25.2" customHeight="1" x14ac:dyDescent="0.3">
      <c r="A93" s="679" t="s">
        <v>286</v>
      </c>
      <c r="B93" s="679"/>
      <c r="C93" s="679"/>
      <c r="D93" s="679"/>
      <c r="E93" s="35"/>
      <c r="F93" s="35"/>
    </row>
    <row r="94" spans="1:23" ht="25.2" customHeight="1" x14ac:dyDescent="0.3">
      <c r="A94" s="213" t="s">
        <v>185</v>
      </c>
      <c r="B94" s="127">
        <v>1998</v>
      </c>
      <c r="C94" s="127">
        <v>2016</v>
      </c>
      <c r="D94" s="69"/>
      <c r="E94" s="35"/>
      <c r="F94" s="35"/>
      <c r="V94" s="91" t="s">
        <v>151</v>
      </c>
      <c r="W94" s="91" t="s">
        <v>152</v>
      </c>
    </row>
    <row r="95" spans="1:23" ht="25.2" customHeight="1" x14ac:dyDescent="0.3">
      <c r="A95" s="133" t="s">
        <v>210</v>
      </c>
      <c r="B95" s="170">
        <f>B103/(B105+B103)</f>
        <v>0.6106258498939402</v>
      </c>
      <c r="C95" s="170">
        <f>C103/(C105+C103)</f>
        <v>0.48226249290655354</v>
      </c>
      <c r="D95" s="69"/>
      <c r="E95" s="35"/>
      <c r="F95" s="35"/>
    </row>
    <row r="96" spans="1:23" ht="25.2" customHeight="1" x14ac:dyDescent="0.3">
      <c r="A96" s="133" t="s">
        <v>211</v>
      </c>
      <c r="B96" s="170">
        <f>B104/(B106+B104)</f>
        <v>0.577805103578102</v>
      </c>
      <c r="C96" s="170">
        <f>C104/(C106+C104)</f>
        <v>0.58647173535659969</v>
      </c>
    </row>
    <row r="97" spans="1:43" x14ac:dyDescent="0.3">
      <c r="B97" s="19"/>
      <c r="D97" s="6"/>
    </row>
    <row r="98" spans="1:43" x14ac:dyDescent="0.3">
      <c r="B98" s="19"/>
      <c r="D98" s="6"/>
    </row>
    <row r="99" spans="1:43" x14ac:dyDescent="0.3">
      <c r="B99" s="19"/>
      <c r="D99" s="6"/>
    </row>
    <row r="100" spans="1:43" x14ac:dyDescent="0.3">
      <c r="B100" s="19"/>
      <c r="D100" s="6"/>
    </row>
    <row r="101" spans="1:43" x14ac:dyDescent="0.3">
      <c r="A101" s="6" t="s">
        <v>300</v>
      </c>
      <c r="B101" s="19"/>
      <c r="D101" s="6"/>
    </row>
    <row r="102" spans="1:43" ht="28.8" x14ac:dyDescent="0.3">
      <c r="A102" s="211" t="s">
        <v>292</v>
      </c>
      <c r="B102" s="117" t="s">
        <v>190</v>
      </c>
      <c r="C102" s="117" t="s">
        <v>132</v>
      </c>
      <c r="D102" s="212" t="s">
        <v>191</v>
      </c>
      <c r="E102" s="212" t="s">
        <v>74</v>
      </c>
      <c r="F102" s="117" t="s">
        <v>199</v>
      </c>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row>
    <row r="103" spans="1:43" s="48" customFormat="1" x14ac:dyDescent="0.3">
      <c r="A103" s="136" t="s">
        <v>70</v>
      </c>
      <c r="B103" s="137">
        <f>SUM(B146:D146)/3</f>
        <v>120.38600199978892</v>
      </c>
      <c r="C103" s="137">
        <f>SUM(R146:T146)/3</f>
        <v>122.67337038421425</v>
      </c>
      <c r="D103" s="156">
        <f>C103-B103</f>
        <v>2.287368384425335</v>
      </c>
      <c r="E103" s="118">
        <f>D103/B103</f>
        <v>1.9000285302516698E-2</v>
      </c>
      <c r="F103" s="118">
        <f>((C103/B103)^(1/16))-1</f>
        <v>1.1770693419523859E-3</v>
      </c>
      <c r="G103" s="44"/>
      <c r="H103" s="44"/>
      <c r="I103" s="44"/>
      <c r="J103" s="44"/>
      <c r="K103" s="44"/>
      <c r="L103" s="44"/>
      <c r="M103" s="116"/>
      <c r="N103" s="44"/>
      <c r="O103" s="114"/>
      <c r="P103" s="44"/>
      <c r="Q103" s="44"/>
      <c r="R103" s="114"/>
      <c r="S103" s="168"/>
      <c r="T103" s="44"/>
      <c r="U103" s="44"/>
      <c r="V103" s="44"/>
      <c r="W103" s="44"/>
      <c r="X103" s="44"/>
      <c r="Y103" s="44"/>
      <c r="Z103" s="169"/>
      <c r="AA103" s="44"/>
      <c r="AB103" s="44"/>
      <c r="AC103" s="44"/>
      <c r="AD103" s="44"/>
      <c r="AE103" s="44"/>
      <c r="AF103" s="44"/>
      <c r="AG103" s="44"/>
      <c r="AH103" s="44"/>
      <c r="AI103" s="44"/>
      <c r="AJ103" s="44"/>
      <c r="AK103" s="44"/>
      <c r="AL103" s="44"/>
      <c r="AM103" s="44"/>
      <c r="AN103" s="44"/>
      <c r="AO103" s="44"/>
      <c r="AP103" s="44"/>
      <c r="AQ103" s="44"/>
    </row>
    <row r="104" spans="1:43" x14ac:dyDescent="0.3">
      <c r="A104" s="136" t="s">
        <v>71</v>
      </c>
      <c r="B104" s="137">
        <f>SUM(B147:D147)/3</f>
        <v>126.48022822283872</v>
      </c>
      <c r="C104" s="137">
        <f>SUM(R147:T147)/3</f>
        <v>214.37662682293458</v>
      </c>
      <c r="D104" s="156">
        <f>C104-B104</f>
        <v>87.896398600095864</v>
      </c>
      <c r="E104" s="118">
        <f>D104/B104</f>
        <v>0.69494180896982505</v>
      </c>
      <c r="F104" s="118">
        <f>((C104/B104)^(1/16))-1</f>
        <v>3.3527827815381883E-2</v>
      </c>
      <c r="G104" s="44"/>
      <c r="H104" s="44"/>
      <c r="I104" s="44"/>
      <c r="J104" s="44"/>
      <c r="K104" s="44"/>
      <c r="L104" s="44"/>
      <c r="M104" s="116"/>
      <c r="N104" s="44"/>
      <c r="O104" s="114"/>
      <c r="P104" s="44"/>
      <c r="Q104" s="44"/>
      <c r="R104" s="114"/>
      <c r="S104" s="168"/>
      <c r="T104" s="44"/>
      <c r="U104" s="44"/>
      <c r="V104" s="44"/>
      <c r="W104" s="44"/>
      <c r="X104" s="44"/>
      <c r="Y104" s="44"/>
      <c r="Z104" s="169"/>
      <c r="AA104" s="44"/>
      <c r="AB104" s="44"/>
      <c r="AC104" s="44"/>
      <c r="AD104" s="44"/>
      <c r="AE104" s="44"/>
      <c r="AF104" s="44"/>
      <c r="AG104" s="44"/>
      <c r="AH104" s="44"/>
      <c r="AI104" s="44"/>
      <c r="AJ104" s="44"/>
      <c r="AK104" s="44"/>
      <c r="AL104" s="44"/>
      <c r="AM104" s="44"/>
      <c r="AN104" s="44"/>
      <c r="AO104" s="44"/>
      <c r="AP104" s="44"/>
      <c r="AQ104" s="44"/>
    </row>
    <row r="105" spans="1:43" x14ac:dyDescent="0.3">
      <c r="A105" s="136" t="s">
        <v>72</v>
      </c>
      <c r="B105" s="137">
        <f>SUM(B151:D151)/3</f>
        <v>76.765825130848953</v>
      </c>
      <c r="C105" s="137">
        <f>SUM(R151:T151)/3</f>
        <v>131.69716887309491</v>
      </c>
      <c r="D105" s="156">
        <f>C105-B105</f>
        <v>54.931343742245957</v>
      </c>
      <c r="E105" s="118">
        <f>D105/B105</f>
        <v>0.71557028988634375</v>
      </c>
      <c r="F105" s="118">
        <f>((C105/B105)^(1/16))-1</f>
        <v>3.4309544400365599E-2</v>
      </c>
      <c r="M105" s="9"/>
      <c r="O105" s="11"/>
      <c r="R105" s="11"/>
      <c r="S105" s="10"/>
      <c r="Z105" s="22"/>
    </row>
    <row r="106" spans="1:43" x14ac:dyDescent="0.3">
      <c r="A106" s="136" t="s">
        <v>73</v>
      </c>
      <c r="B106" s="137">
        <f>SUM(B152:D152)/3</f>
        <v>92.417506393211383</v>
      </c>
      <c r="C106" s="137">
        <f>SUM(R152:T152)/3</f>
        <v>151.15953442545791</v>
      </c>
      <c r="D106" s="156">
        <f>C106-B106</f>
        <v>58.742028032246523</v>
      </c>
      <c r="E106" s="118">
        <f>D106/B106</f>
        <v>0.635615808354698</v>
      </c>
      <c r="F106" s="118">
        <f>((C106/B106)^(1/16))-1</f>
        <v>3.1228913471156305E-2</v>
      </c>
      <c r="M106" s="9"/>
      <c r="O106" s="11"/>
      <c r="R106" s="11"/>
      <c r="S106" s="10"/>
      <c r="Z106" s="22"/>
    </row>
    <row r="107" spans="1:43" x14ac:dyDescent="0.3">
      <c r="B107" s="19"/>
      <c r="D107" s="6"/>
    </row>
    <row r="108" spans="1:43" ht="18" x14ac:dyDescent="0.35">
      <c r="A108" s="204" t="s">
        <v>288</v>
      </c>
      <c r="B108" s="19"/>
      <c r="D108" s="6"/>
    </row>
    <row r="109" spans="1:43" x14ac:dyDescent="0.3">
      <c r="A109" s="6"/>
      <c r="B109" s="19"/>
      <c r="D109" s="6"/>
    </row>
    <row r="110" spans="1:43" x14ac:dyDescent="0.3">
      <c r="A110" s="6"/>
      <c r="B110" s="19"/>
      <c r="D110" s="6"/>
    </row>
    <row r="111" spans="1:43" x14ac:dyDescent="0.3">
      <c r="A111" s="6"/>
      <c r="B111" s="19"/>
      <c r="D111" s="6"/>
    </row>
    <row r="112" spans="1:43" x14ac:dyDescent="0.3">
      <c r="A112" s="6"/>
      <c r="B112" s="19"/>
      <c r="D112" s="6"/>
    </row>
    <row r="113" spans="1:20" x14ac:dyDescent="0.3">
      <c r="A113" s="6"/>
      <c r="B113" s="19"/>
      <c r="D113" s="6"/>
    </row>
    <row r="114" spans="1:20" x14ac:dyDescent="0.3">
      <c r="A114" s="6"/>
      <c r="B114" s="19"/>
      <c r="D114" s="6"/>
    </row>
    <row r="115" spans="1:20" x14ac:dyDescent="0.3">
      <c r="A115" s="6"/>
      <c r="B115" s="19"/>
      <c r="D115" s="6"/>
    </row>
    <row r="116" spans="1:20" x14ac:dyDescent="0.3">
      <c r="A116" s="6"/>
      <c r="B116" s="19"/>
      <c r="D116" s="6"/>
    </row>
    <row r="117" spans="1:20" x14ac:dyDescent="0.3">
      <c r="A117" s="6"/>
      <c r="B117" s="19"/>
      <c r="D117" s="6"/>
    </row>
    <row r="118" spans="1:20" x14ac:dyDescent="0.3">
      <c r="A118" s="6"/>
      <c r="B118" s="19"/>
      <c r="D118" s="6"/>
    </row>
    <row r="119" spans="1:20" x14ac:dyDescent="0.3">
      <c r="A119" s="6"/>
      <c r="B119" s="19"/>
      <c r="D119" s="6"/>
    </row>
    <row r="120" spans="1:20" x14ac:dyDescent="0.3">
      <c r="A120" s="6"/>
      <c r="B120" s="19"/>
      <c r="D120" s="6"/>
    </row>
    <row r="121" spans="1:20" x14ac:dyDescent="0.3">
      <c r="A121" s="6"/>
      <c r="B121" s="19"/>
      <c r="D121" s="6"/>
    </row>
    <row r="122" spans="1:20" x14ac:dyDescent="0.3">
      <c r="A122" s="6"/>
      <c r="B122" s="19"/>
      <c r="D122" s="6"/>
    </row>
    <row r="123" spans="1:20" s="110" customFormat="1" x14ac:dyDescent="0.3">
      <c r="A123" s="184" t="s">
        <v>48</v>
      </c>
      <c r="B123" s="206" t="s">
        <v>0</v>
      </c>
      <c r="C123" s="105" t="s">
        <v>1</v>
      </c>
      <c r="D123" s="105" t="s">
        <v>2</v>
      </c>
      <c r="E123" s="105" t="s">
        <v>3</v>
      </c>
      <c r="F123" s="105" t="s">
        <v>4</v>
      </c>
      <c r="G123" s="105" t="s">
        <v>5</v>
      </c>
      <c r="H123" s="105" t="s">
        <v>6</v>
      </c>
      <c r="I123" s="105" t="s">
        <v>7</v>
      </c>
      <c r="J123" s="105" t="s">
        <v>8</v>
      </c>
      <c r="K123" s="105" t="s">
        <v>9</v>
      </c>
      <c r="L123" s="105" t="s">
        <v>10</v>
      </c>
      <c r="M123" s="105" t="s">
        <v>11</v>
      </c>
      <c r="N123" s="105" t="s">
        <v>12</v>
      </c>
      <c r="O123" s="105" t="s">
        <v>13</v>
      </c>
      <c r="P123" s="105" t="s">
        <v>14</v>
      </c>
      <c r="Q123" s="105" t="s">
        <v>15</v>
      </c>
      <c r="R123" s="105" t="s">
        <v>16</v>
      </c>
      <c r="S123" s="105" t="s">
        <v>17</v>
      </c>
      <c r="T123" s="185" t="s">
        <v>18</v>
      </c>
    </row>
    <row r="124" spans="1:20" s="48" customFormat="1" x14ac:dyDescent="0.3">
      <c r="A124" s="208" t="s">
        <v>289</v>
      </c>
      <c r="B124" s="349">
        <f>B146</f>
        <v>116.90102827763495</v>
      </c>
      <c r="C124" s="353">
        <f>C146</f>
        <v>118.13717948717949</v>
      </c>
      <c r="D124" s="353">
        <f t="shared" ref="D124:T124" si="1">D146</f>
        <v>126.11979823455235</v>
      </c>
      <c r="E124" s="353">
        <f t="shared" si="1"/>
        <v>126.99374217772215</v>
      </c>
      <c r="F124" s="353">
        <f t="shared" si="1"/>
        <v>129.71428571428572</v>
      </c>
      <c r="G124" s="353">
        <f t="shared" si="1"/>
        <v>122.16584158415841</v>
      </c>
      <c r="H124" s="353">
        <f t="shared" si="1"/>
        <v>123.19378881987578</v>
      </c>
      <c r="I124" s="353">
        <f t="shared" si="1"/>
        <v>130.52242424242425</v>
      </c>
      <c r="J124" s="353">
        <f t="shared" si="1"/>
        <v>159.84844868735084</v>
      </c>
      <c r="K124" s="353">
        <f t="shared" si="1"/>
        <v>133.76442307692307</v>
      </c>
      <c r="L124" s="353">
        <f t="shared" si="1"/>
        <v>132.21052631578945</v>
      </c>
      <c r="M124" s="353">
        <f t="shared" si="1"/>
        <v>114.23442449841605</v>
      </c>
      <c r="N124" s="353">
        <f t="shared" si="1"/>
        <v>121.56670010030091</v>
      </c>
      <c r="O124" s="353">
        <f t="shared" si="1"/>
        <v>131.09609895337775</v>
      </c>
      <c r="P124" s="353">
        <f t="shared" si="1"/>
        <v>117.86799620132953</v>
      </c>
      <c r="Q124" s="353">
        <f t="shared" si="1"/>
        <v>116.57894736842105</v>
      </c>
      <c r="R124" s="353">
        <f t="shared" si="1"/>
        <v>121.57341120607789</v>
      </c>
      <c r="S124" s="353">
        <f t="shared" si="1"/>
        <v>122.30792799999999</v>
      </c>
      <c r="T124" s="355">
        <f t="shared" si="1"/>
        <v>124.13877194656487</v>
      </c>
    </row>
    <row r="125" spans="1:20" s="48" customFormat="1" x14ac:dyDescent="0.3">
      <c r="A125" s="209" t="s">
        <v>290</v>
      </c>
      <c r="B125" s="356">
        <f>B151</f>
        <v>75.580976863753207</v>
      </c>
      <c r="C125" s="357">
        <f>C151</f>
        <v>73.629487179487171</v>
      </c>
      <c r="D125" s="357">
        <f t="shared" ref="D125:T125" si="2">D151</f>
        <v>81.087011349306451</v>
      </c>
      <c r="E125" s="357">
        <f t="shared" si="2"/>
        <v>80.501877346683344</v>
      </c>
      <c r="F125" s="357">
        <f t="shared" si="2"/>
        <v>76.328697850821754</v>
      </c>
      <c r="G125" s="357">
        <f t="shared" si="2"/>
        <v>81.076732673267344</v>
      </c>
      <c r="H125" s="357">
        <f t="shared" si="2"/>
        <v>84.27080745341614</v>
      </c>
      <c r="I125" s="357">
        <f t="shared" si="2"/>
        <v>93.002424242424254</v>
      </c>
      <c r="J125" s="357">
        <f t="shared" si="2"/>
        <v>95.510739856801905</v>
      </c>
      <c r="K125" s="357">
        <f t="shared" si="2"/>
        <v>97.984374999999986</v>
      </c>
      <c r="L125" s="357">
        <f t="shared" si="2"/>
        <v>106.75328947368421</v>
      </c>
      <c r="M125" s="357">
        <f t="shared" si="2"/>
        <v>97.230200633579713</v>
      </c>
      <c r="N125" s="357">
        <f t="shared" si="2"/>
        <v>111.13841524573722</v>
      </c>
      <c r="O125" s="357">
        <f t="shared" si="2"/>
        <v>121.45195052331114</v>
      </c>
      <c r="P125" s="357">
        <f t="shared" si="2"/>
        <v>127.23456790123458</v>
      </c>
      <c r="Q125" s="357">
        <f t="shared" si="2"/>
        <v>125.05355493998152</v>
      </c>
      <c r="R125" s="357">
        <f t="shared" si="2"/>
        <v>124.51057739791072</v>
      </c>
      <c r="S125" s="357">
        <f t="shared" si="2"/>
        <v>136.01828799999998</v>
      </c>
      <c r="T125" s="358">
        <f t="shared" si="2"/>
        <v>134.56264122137404</v>
      </c>
    </row>
    <row r="126" spans="1:20" ht="13.2" customHeight="1" x14ac:dyDescent="0.3">
      <c r="A126" s="6"/>
      <c r="B126" s="19"/>
      <c r="D126" s="6"/>
    </row>
    <row r="127" spans="1:20" ht="13.2" customHeight="1" x14ac:dyDescent="0.3">
      <c r="A127" s="6"/>
      <c r="B127" s="19"/>
      <c r="D127" s="6"/>
    </row>
    <row r="128" spans="1:20" ht="13.2" customHeight="1" x14ac:dyDescent="0.3">
      <c r="A128" s="6"/>
      <c r="B128" s="19"/>
      <c r="D128" s="6"/>
    </row>
    <row r="129" spans="1:19" ht="13.2" customHeight="1" x14ac:dyDescent="0.3">
      <c r="A129" s="6"/>
      <c r="B129" s="19"/>
      <c r="D129" s="6"/>
    </row>
    <row r="130" spans="1:19" ht="13.2" customHeight="1" x14ac:dyDescent="0.3">
      <c r="A130" s="6"/>
      <c r="B130" s="19"/>
      <c r="D130" s="6"/>
    </row>
    <row r="131" spans="1:19" x14ac:dyDescent="0.3">
      <c r="A131" s="6"/>
      <c r="B131" s="19"/>
      <c r="D131" s="6"/>
    </row>
    <row r="132" spans="1:19" x14ac:dyDescent="0.3">
      <c r="A132" s="6"/>
      <c r="B132" s="19"/>
      <c r="D132" s="6"/>
    </row>
    <row r="133" spans="1:19" x14ac:dyDescent="0.3">
      <c r="A133" s="6"/>
      <c r="B133" s="19"/>
      <c r="D133" s="6"/>
    </row>
    <row r="134" spans="1:19" x14ac:dyDescent="0.3">
      <c r="A134" s="6"/>
      <c r="B134" s="19"/>
      <c r="D134" s="6"/>
    </row>
    <row r="135" spans="1:19" x14ac:dyDescent="0.3">
      <c r="A135" s="6"/>
      <c r="B135" s="19"/>
      <c r="D135" s="6"/>
    </row>
    <row r="136" spans="1:19" x14ac:dyDescent="0.3">
      <c r="A136" s="6"/>
      <c r="B136" s="19"/>
      <c r="D136" s="6"/>
    </row>
    <row r="137" spans="1:19" x14ac:dyDescent="0.3">
      <c r="A137" s="6"/>
      <c r="B137" s="19"/>
      <c r="D137" s="6"/>
    </row>
    <row r="138" spans="1:19" x14ac:dyDescent="0.3">
      <c r="A138" s="6"/>
      <c r="B138" s="19"/>
      <c r="D138" s="6"/>
    </row>
    <row r="139" spans="1:19" x14ac:dyDescent="0.3">
      <c r="A139" s="6"/>
      <c r="B139" s="19"/>
      <c r="D139" s="6"/>
    </row>
    <row r="140" spans="1:19" x14ac:dyDescent="0.3">
      <c r="A140" s="6"/>
      <c r="B140" s="19"/>
      <c r="D140" s="6"/>
    </row>
    <row r="141" spans="1:19" x14ac:dyDescent="0.3">
      <c r="A141" s="6"/>
      <c r="B141" s="19"/>
      <c r="D141" s="6"/>
    </row>
    <row r="142" spans="1:19" x14ac:dyDescent="0.3">
      <c r="B142" s="19"/>
      <c r="D142" s="6"/>
    </row>
    <row r="143" spans="1:19" s="6" customFormat="1" ht="18" x14ac:dyDescent="0.35">
      <c r="A143" s="204" t="s">
        <v>294</v>
      </c>
      <c r="S143" s="6">
        <v>117.94</v>
      </c>
    </row>
    <row r="144" spans="1:19" s="6" customFormat="1" x14ac:dyDescent="0.3">
      <c r="A144" s="6" t="s">
        <v>614</v>
      </c>
    </row>
    <row r="145" spans="1:96" s="110" customFormat="1" ht="12" customHeight="1" x14ac:dyDescent="0.3">
      <c r="A145" s="153" t="s">
        <v>48</v>
      </c>
      <c r="B145" s="105" t="s">
        <v>0</v>
      </c>
      <c r="C145" s="105" t="s">
        <v>1</v>
      </c>
      <c r="D145" s="105" t="s">
        <v>2</v>
      </c>
      <c r="E145" s="105" t="s">
        <v>3</v>
      </c>
      <c r="F145" s="105" t="s">
        <v>4</v>
      </c>
      <c r="G145" s="105" t="s">
        <v>5</v>
      </c>
      <c r="H145" s="105" t="s">
        <v>6</v>
      </c>
      <c r="I145" s="105" t="s">
        <v>7</v>
      </c>
      <c r="J145" s="105" t="s">
        <v>8</v>
      </c>
      <c r="K145" s="105" t="s">
        <v>9</v>
      </c>
      <c r="L145" s="105" t="s">
        <v>10</v>
      </c>
      <c r="M145" s="105" t="s">
        <v>11</v>
      </c>
      <c r="N145" s="105" t="s">
        <v>12</v>
      </c>
      <c r="O145" s="105" t="s">
        <v>13</v>
      </c>
      <c r="P145" s="105" t="s">
        <v>14</v>
      </c>
      <c r="Q145" s="105" t="s">
        <v>15</v>
      </c>
      <c r="R145" s="105" t="s">
        <v>16</v>
      </c>
      <c r="S145" s="105" t="s">
        <v>17</v>
      </c>
      <c r="T145" s="105" t="s">
        <v>18</v>
      </c>
      <c r="U145" s="126"/>
      <c r="V145" s="56">
        <v>2014</v>
      </c>
      <c r="W145" s="56">
        <v>2015</v>
      </c>
      <c r="X145" s="56">
        <v>2016</v>
      </c>
      <c r="Y145" s="126"/>
      <c r="Z145" s="126"/>
      <c r="AA145" s="154"/>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c r="BA145" s="126"/>
      <c r="BB145" s="126"/>
      <c r="BC145" s="126"/>
      <c r="BD145" s="126"/>
      <c r="BE145" s="126"/>
      <c r="BF145" s="126"/>
      <c r="BG145" s="126"/>
      <c r="BH145" s="126"/>
      <c r="BI145" s="126"/>
      <c r="BJ145" s="126"/>
      <c r="BK145" s="126"/>
      <c r="BL145" s="126"/>
      <c r="BM145" s="126"/>
      <c r="BN145" s="126"/>
      <c r="BO145" s="126"/>
      <c r="BP145" s="126"/>
      <c r="BQ145" s="126"/>
      <c r="BR145" s="126"/>
      <c r="BS145" s="126"/>
      <c r="BT145" s="126"/>
      <c r="BU145" s="126"/>
      <c r="BV145" s="126"/>
      <c r="BW145" s="126"/>
      <c r="BX145" s="126"/>
      <c r="BY145" s="126"/>
      <c r="BZ145" s="126"/>
      <c r="CA145" s="126"/>
      <c r="CB145" s="126"/>
      <c r="CC145" s="126"/>
      <c r="CD145" s="126"/>
      <c r="CE145" s="126"/>
      <c r="CF145" s="126"/>
      <c r="CG145" s="126"/>
      <c r="CH145" s="126"/>
      <c r="CI145" s="126"/>
      <c r="CJ145" s="126"/>
      <c r="CK145" s="126"/>
      <c r="CL145" s="126"/>
      <c r="CM145" s="126"/>
      <c r="CN145" s="126"/>
      <c r="CO145" s="126"/>
      <c r="CP145" s="126"/>
      <c r="CQ145" s="126"/>
      <c r="CR145" s="126"/>
    </row>
    <row r="146" spans="1:96" s="48" customFormat="1" x14ac:dyDescent="0.3">
      <c r="A146" s="51" t="s">
        <v>206</v>
      </c>
      <c r="B146" s="353">
        <f>(B158/1000)/B184</f>
        <v>116.90102827763495</v>
      </c>
      <c r="C146" s="353">
        <f t="shared" ref="C146:Q146" si="3">(C158/1000)/C184</f>
        <v>118.13717948717949</v>
      </c>
      <c r="D146" s="353">
        <f t="shared" si="3"/>
        <v>126.11979823455235</v>
      </c>
      <c r="E146" s="353">
        <f t="shared" si="3"/>
        <v>126.99374217772215</v>
      </c>
      <c r="F146" s="353">
        <f t="shared" si="3"/>
        <v>129.71428571428572</v>
      </c>
      <c r="G146" s="353">
        <f t="shared" si="3"/>
        <v>122.16584158415841</v>
      </c>
      <c r="H146" s="353">
        <f t="shared" si="3"/>
        <v>123.19378881987578</v>
      </c>
      <c r="I146" s="353">
        <f t="shared" si="3"/>
        <v>130.52242424242425</v>
      </c>
      <c r="J146" s="353">
        <f t="shared" si="3"/>
        <v>159.84844868735084</v>
      </c>
      <c r="K146" s="353">
        <f t="shared" si="3"/>
        <v>133.76442307692307</v>
      </c>
      <c r="L146" s="353">
        <f t="shared" si="3"/>
        <v>132.21052631578945</v>
      </c>
      <c r="M146" s="353">
        <f t="shared" si="3"/>
        <v>114.23442449841605</v>
      </c>
      <c r="N146" s="353">
        <f t="shared" si="3"/>
        <v>121.56670010030091</v>
      </c>
      <c r="O146" s="353">
        <f t="shared" si="3"/>
        <v>131.09609895337775</v>
      </c>
      <c r="P146" s="353">
        <f t="shared" si="3"/>
        <v>117.86799620132953</v>
      </c>
      <c r="Q146" s="353">
        <f t="shared" si="3"/>
        <v>116.57894736842105</v>
      </c>
      <c r="R146" s="353">
        <f>(((R158/1000)*V146)/R184)</f>
        <v>121.57341120607789</v>
      </c>
      <c r="S146" s="353">
        <f>(((S158/1000)*W146)/S184)</f>
        <v>122.30792799999999</v>
      </c>
      <c r="T146" s="353">
        <f>(((T158/1000)*X146)/T184)</f>
        <v>124.13877194656487</v>
      </c>
      <c r="V146" s="56">
        <v>1.046</v>
      </c>
      <c r="W146" s="56">
        <v>1.0369999999999999</v>
      </c>
      <c r="X146" s="56">
        <v>1.0089999999999999</v>
      </c>
    </row>
    <row r="147" spans="1:96" x14ac:dyDescent="0.3">
      <c r="A147" s="51" t="s">
        <v>207</v>
      </c>
      <c r="B147" s="134">
        <f>(B159/1000)/B182</f>
        <v>120.51927710843374</v>
      </c>
      <c r="C147" s="134">
        <f t="shared" ref="C147:Q147" si="4">(C159/1000)/C182</f>
        <v>126.44915254237289</v>
      </c>
      <c r="D147" s="134">
        <f t="shared" si="4"/>
        <v>132.47225501770956</v>
      </c>
      <c r="E147" s="134">
        <f t="shared" si="4"/>
        <v>143.77751479289941</v>
      </c>
      <c r="F147" s="134">
        <f t="shared" si="4"/>
        <v>160.24150485436891</v>
      </c>
      <c r="G147" s="134">
        <f t="shared" si="4"/>
        <v>161.4855421686747</v>
      </c>
      <c r="H147" s="134">
        <f t="shared" si="4"/>
        <v>170.12820512820514</v>
      </c>
      <c r="I147" s="134">
        <f t="shared" si="4"/>
        <v>181.89268867924528</v>
      </c>
      <c r="J147" s="134">
        <f t="shared" si="4"/>
        <v>204.12933025404158</v>
      </c>
      <c r="K147" s="134">
        <f t="shared" si="4"/>
        <v>188.5479768786127</v>
      </c>
      <c r="L147" s="134">
        <f t="shared" si="4"/>
        <v>177.53838280450361</v>
      </c>
      <c r="M147" s="134">
        <f t="shared" si="4"/>
        <v>156.75298804780877</v>
      </c>
      <c r="N147" s="134">
        <f t="shared" si="4"/>
        <v>171.74903846153845</v>
      </c>
      <c r="O147" s="134">
        <f t="shared" si="4"/>
        <v>173.15585585585583</v>
      </c>
      <c r="P147" s="134">
        <f t="shared" si="4"/>
        <v>178.38056312443234</v>
      </c>
      <c r="Q147" s="134">
        <f t="shared" si="4"/>
        <v>185.20612061206123</v>
      </c>
      <c r="R147" s="134">
        <f>(((R159/1000)*V147)/R182)</f>
        <v>205.56421825023517</v>
      </c>
      <c r="S147" s="134">
        <f>(((S159/1000)*W147)/S182)</f>
        <v>214.68205099999997</v>
      </c>
      <c r="T147" s="134">
        <f>(((T159/1000)*X147)/T182)</f>
        <v>222.88361121856863</v>
      </c>
      <c r="V147" s="6">
        <v>1.028</v>
      </c>
      <c r="W147" s="6">
        <v>1.0129999999999999</v>
      </c>
      <c r="X147" s="6">
        <v>1.0089999999999999</v>
      </c>
    </row>
    <row r="148" spans="1:96" s="48" customFormat="1" x14ac:dyDescent="0.3">
      <c r="A148" s="51" t="s">
        <v>34</v>
      </c>
      <c r="B148" s="350">
        <f>B146-B147</f>
        <v>-3.618248830798791</v>
      </c>
      <c r="C148" s="350">
        <f t="shared" ref="C148:T148" si="5">C146-C147</f>
        <v>-8.3119730551933912</v>
      </c>
      <c r="D148" s="350">
        <f t="shared" si="5"/>
        <v>-6.3524567831572085</v>
      </c>
      <c r="E148" s="350">
        <f t="shared" si="5"/>
        <v>-16.783772615177256</v>
      </c>
      <c r="F148" s="350">
        <f t="shared" si="5"/>
        <v>-30.52721914008319</v>
      </c>
      <c r="G148" s="350">
        <f t="shared" si="5"/>
        <v>-39.319700584516283</v>
      </c>
      <c r="H148" s="350">
        <f t="shared" si="5"/>
        <v>-46.934416308329361</v>
      </c>
      <c r="I148" s="350">
        <f t="shared" si="5"/>
        <v>-51.370264436821031</v>
      </c>
      <c r="J148" s="350">
        <f t="shared" si="5"/>
        <v>-44.280881566690738</v>
      </c>
      <c r="K148" s="350">
        <f t="shared" si="5"/>
        <v>-54.783553801689635</v>
      </c>
      <c r="L148" s="350">
        <f t="shared" si="5"/>
        <v>-45.327856488714161</v>
      </c>
      <c r="M148" s="350">
        <f t="shared" si="5"/>
        <v>-42.518563549392724</v>
      </c>
      <c r="N148" s="350">
        <f t="shared" si="5"/>
        <v>-50.182338361237541</v>
      </c>
      <c r="O148" s="350">
        <f t="shared" si="5"/>
        <v>-42.059756902478085</v>
      </c>
      <c r="P148" s="350">
        <f t="shared" si="5"/>
        <v>-60.51256692310281</v>
      </c>
      <c r="Q148" s="350">
        <f t="shared" si="5"/>
        <v>-68.627173243640172</v>
      </c>
      <c r="R148" s="350">
        <f t="shared" si="5"/>
        <v>-83.990807044157279</v>
      </c>
      <c r="S148" s="350">
        <f t="shared" si="5"/>
        <v>-92.374122999999983</v>
      </c>
      <c r="T148" s="350">
        <f t="shared" si="5"/>
        <v>-98.744839272003759</v>
      </c>
      <c r="V148" s="6"/>
      <c r="W148" s="6"/>
      <c r="X148" s="6"/>
    </row>
    <row r="149" spans="1:96" x14ac:dyDescent="0.3">
      <c r="A149" s="4"/>
      <c r="B149" s="21"/>
      <c r="C149" s="21"/>
      <c r="D149" s="21"/>
      <c r="E149" s="21"/>
      <c r="F149" s="21"/>
      <c r="G149" s="21"/>
      <c r="H149" s="21"/>
      <c r="I149" s="21"/>
      <c r="J149" s="21"/>
      <c r="K149" s="21"/>
      <c r="L149" s="21"/>
      <c r="M149" s="21"/>
      <c r="N149" s="21"/>
      <c r="O149" s="21"/>
      <c r="P149" s="21"/>
      <c r="Q149" s="21"/>
      <c r="R149" s="21"/>
      <c r="S149" s="21"/>
      <c r="T149" s="21"/>
      <c r="V149" s="6">
        <v>0.97899999999999998</v>
      </c>
      <c r="W149" s="6">
        <v>0.97599999999999998</v>
      </c>
      <c r="X149" s="6">
        <v>0.996</v>
      </c>
    </row>
    <row r="150" spans="1:96" s="110" customFormat="1" ht="12" customHeight="1" x14ac:dyDescent="0.3">
      <c r="A150" s="155" t="s">
        <v>48</v>
      </c>
      <c r="B150" s="105" t="s">
        <v>0</v>
      </c>
      <c r="C150" s="105" t="s">
        <v>1</v>
      </c>
      <c r="D150" s="105" t="s">
        <v>2</v>
      </c>
      <c r="E150" s="105" t="s">
        <v>3</v>
      </c>
      <c r="F150" s="105" t="s">
        <v>4</v>
      </c>
      <c r="G150" s="105" t="s">
        <v>5</v>
      </c>
      <c r="H150" s="105" t="s">
        <v>6</v>
      </c>
      <c r="I150" s="105" t="s">
        <v>7</v>
      </c>
      <c r="J150" s="105" t="s">
        <v>8</v>
      </c>
      <c r="K150" s="105" t="s">
        <v>9</v>
      </c>
      <c r="L150" s="105" t="s">
        <v>10</v>
      </c>
      <c r="M150" s="105" t="s">
        <v>11</v>
      </c>
      <c r="N150" s="105" t="s">
        <v>12</v>
      </c>
      <c r="O150" s="105" t="s">
        <v>13</v>
      </c>
      <c r="P150" s="105" t="s">
        <v>14</v>
      </c>
      <c r="Q150" s="105" t="s">
        <v>15</v>
      </c>
      <c r="R150" s="105" t="s">
        <v>16</v>
      </c>
      <c r="S150" s="105" t="s">
        <v>17</v>
      </c>
      <c r="T150" s="105" t="s">
        <v>18</v>
      </c>
      <c r="U150" s="126"/>
      <c r="V150" s="6">
        <v>0.99299999999999999</v>
      </c>
      <c r="W150" s="6">
        <v>0.98399999999999999</v>
      </c>
      <c r="X150" s="6">
        <v>0.997</v>
      </c>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6"/>
      <c r="BM150" s="126"/>
      <c r="BN150" s="126"/>
      <c r="BO150" s="126"/>
      <c r="BP150" s="126"/>
      <c r="BQ150" s="126"/>
      <c r="BR150" s="126"/>
      <c r="BS150" s="126"/>
      <c r="BT150" s="126"/>
      <c r="BU150" s="126"/>
      <c r="BV150" s="126"/>
      <c r="BW150" s="126"/>
      <c r="BX150" s="126"/>
      <c r="BY150" s="126"/>
      <c r="BZ150" s="126"/>
      <c r="CA150" s="126"/>
      <c r="CB150" s="126"/>
      <c r="CC150" s="126"/>
      <c r="CD150" s="126"/>
      <c r="CE150" s="126"/>
      <c r="CF150" s="126"/>
      <c r="CG150" s="126"/>
      <c r="CH150" s="126"/>
      <c r="CI150" s="126"/>
      <c r="CJ150" s="126"/>
      <c r="CK150" s="126"/>
      <c r="CL150" s="126"/>
      <c r="CM150" s="126"/>
      <c r="CN150" s="126"/>
      <c r="CO150" s="126"/>
      <c r="CP150" s="126"/>
      <c r="CQ150" s="126"/>
      <c r="CR150" s="126"/>
    </row>
    <row r="151" spans="1:96" s="48" customFormat="1" x14ac:dyDescent="0.3">
      <c r="A151" s="51" t="s">
        <v>208</v>
      </c>
      <c r="B151" s="353">
        <f>(B163/1000)/B184</f>
        <v>75.580976863753207</v>
      </c>
      <c r="C151" s="353">
        <f>(C163/1000)/C184</f>
        <v>73.629487179487171</v>
      </c>
      <c r="D151" s="353">
        <f t="shared" ref="D151:Q151" si="6">(D163/1000)/D184</f>
        <v>81.087011349306451</v>
      </c>
      <c r="E151" s="353">
        <f t="shared" si="6"/>
        <v>80.501877346683344</v>
      </c>
      <c r="F151" s="353">
        <f t="shared" si="6"/>
        <v>76.328697850821754</v>
      </c>
      <c r="G151" s="353">
        <f t="shared" si="6"/>
        <v>81.076732673267344</v>
      </c>
      <c r="H151" s="353">
        <f t="shared" si="6"/>
        <v>84.27080745341614</v>
      </c>
      <c r="I151" s="353">
        <f t="shared" si="6"/>
        <v>93.002424242424254</v>
      </c>
      <c r="J151" s="353">
        <f t="shared" si="6"/>
        <v>95.510739856801905</v>
      </c>
      <c r="K151" s="353">
        <f t="shared" si="6"/>
        <v>97.984374999999986</v>
      </c>
      <c r="L151" s="353">
        <f t="shared" si="6"/>
        <v>106.75328947368421</v>
      </c>
      <c r="M151" s="353">
        <f t="shared" si="6"/>
        <v>97.230200633579713</v>
      </c>
      <c r="N151" s="353">
        <f t="shared" si="6"/>
        <v>111.13841524573722</v>
      </c>
      <c r="O151" s="353">
        <f t="shared" si="6"/>
        <v>121.45195052331114</v>
      </c>
      <c r="P151" s="353">
        <f t="shared" si="6"/>
        <v>127.23456790123458</v>
      </c>
      <c r="Q151" s="353">
        <f t="shared" si="6"/>
        <v>125.05355493998152</v>
      </c>
      <c r="R151" s="353">
        <f>((R163/1000)*V149)/R184</f>
        <v>124.51057739791072</v>
      </c>
      <c r="S151" s="353">
        <f>((S163/1000)*W149)/S184</f>
        <v>136.01828799999998</v>
      </c>
      <c r="T151" s="353">
        <f>((T163/1000)*X149)/T184</f>
        <v>134.56264122137404</v>
      </c>
    </row>
    <row r="152" spans="1:96" x14ac:dyDescent="0.3">
      <c r="A152" s="4" t="s">
        <v>209</v>
      </c>
      <c r="B152" s="354">
        <f>(B164/1000)/B182</f>
        <v>84.191566265060246</v>
      </c>
      <c r="C152" s="354">
        <f>(C164/1000)/C182</f>
        <v>89.791767554479435</v>
      </c>
      <c r="D152" s="354">
        <f t="shared" ref="D152:Q152" si="7">(D164/1000)/D182</f>
        <v>103.26918536009445</v>
      </c>
      <c r="E152" s="354">
        <f t="shared" si="7"/>
        <v>102.96568047337279</v>
      </c>
      <c r="F152" s="354">
        <f t="shared" si="7"/>
        <v>99.889563106796103</v>
      </c>
      <c r="G152" s="354">
        <f t="shared" si="7"/>
        <v>100.23253012048193</v>
      </c>
      <c r="H152" s="354">
        <f t="shared" si="7"/>
        <v>106.93162393162392</v>
      </c>
      <c r="I152" s="354">
        <f t="shared" si="7"/>
        <v>111.73349056603774</v>
      </c>
      <c r="J152" s="354">
        <f t="shared" si="7"/>
        <v>124.63163972286374</v>
      </c>
      <c r="K152" s="354">
        <f t="shared" si="7"/>
        <v>128.42312138728323</v>
      </c>
      <c r="L152" s="354">
        <f t="shared" si="7"/>
        <v>125.55987717502559</v>
      </c>
      <c r="M152" s="354">
        <f t="shared" si="7"/>
        <v>117.12450199203188</v>
      </c>
      <c r="N152" s="354">
        <f t="shared" si="7"/>
        <v>132.62019230769232</v>
      </c>
      <c r="O152" s="354">
        <f t="shared" si="7"/>
        <v>128.25765765765766</v>
      </c>
      <c r="P152" s="354">
        <f t="shared" si="7"/>
        <v>132.76748410535876</v>
      </c>
      <c r="Q152" s="354">
        <f t="shared" si="7"/>
        <v>136.8748874887489</v>
      </c>
      <c r="R152" s="354">
        <f>((R164/1000)*V150)/R182</f>
        <v>140.56134524929445</v>
      </c>
      <c r="S152" s="354">
        <f>((S164/1000)*W150)/S182</f>
        <v>151.21620000000001</v>
      </c>
      <c r="T152" s="354">
        <f>((T164/1000)*X150)/T182</f>
        <v>161.70105802707928</v>
      </c>
    </row>
    <row r="153" spans="1:96" s="48" customFormat="1" x14ac:dyDescent="0.3">
      <c r="A153" s="51" t="s">
        <v>34</v>
      </c>
      <c r="B153" s="350">
        <f>B151-B152</f>
        <v>-8.6105894013070383</v>
      </c>
      <c r="C153" s="350">
        <f t="shared" ref="C153:T153" si="8">C151-C152</f>
        <v>-16.162280374992264</v>
      </c>
      <c r="D153" s="350">
        <f t="shared" si="8"/>
        <v>-22.182174010788003</v>
      </c>
      <c r="E153" s="350">
        <f t="shared" si="8"/>
        <v>-22.463803126689442</v>
      </c>
      <c r="F153" s="350">
        <f t="shared" si="8"/>
        <v>-23.560865255974349</v>
      </c>
      <c r="G153" s="350">
        <f t="shared" si="8"/>
        <v>-19.155797447214582</v>
      </c>
      <c r="H153" s="350">
        <f t="shared" si="8"/>
        <v>-22.660816478207778</v>
      </c>
      <c r="I153" s="350">
        <f t="shared" si="8"/>
        <v>-18.73106632361349</v>
      </c>
      <c r="J153" s="350">
        <f t="shared" si="8"/>
        <v>-29.120899866061833</v>
      </c>
      <c r="K153" s="350">
        <f t="shared" si="8"/>
        <v>-30.438746387283246</v>
      </c>
      <c r="L153" s="350">
        <f t="shared" si="8"/>
        <v>-18.806587701341385</v>
      </c>
      <c r="M153" s="350">
        <f t="shared" si="8"/>
        <v>-19.894301358452168</v>
      </c>
      <c r="N153" s="350">
        <f t="shared" si="8"/>
        <v>-21.4817770619551</v>
      </c>
      <c r="O153" s="350">
        <f t="shared" si="8"/>
        <v>-6.8057071343465196</v>
      </c>
      <c r="P153" s="350">
        <f t="shared" si="8"/>
        <v>-5.5329162041241773</v>
      </c>
      <c r="Q153" s="350">
        <f t="shared" si="8"/>
        <v>-11.821332548767373</v>
      </c>
      <c r="R153" s="350">
        <f t="shared" si="8"/>
        <v>-16.050767851383725</v>
      </c>
      <c r="S153" s="350">
        <f t="shared" si="8"/>
        <v>-15.197912000000031</v>
      </c>
      <c r="T153" s="350">
        <f t="shared" si="8"/>
        <v>-27.138416805705248</v>
      </c>
    </row>
    <row r="154" spans="1:96" x14ac:dyDescent="0.3">
      <c r="A154" s="4"/>
      <c r="B154" s="21"/>
      <c r="C154" s="21"/>
      <c r="D154" s="21"/>
      <c r="E154" s="21"/>
      <c r="F154" s="21"/>
      <c r="G154" s="21"/>
      <c r="H154" s="21"/>
      <c r="I154" s="21"/>
      <c r="J154" s="21"/>
      <c r="K154" s="21"/>
      <c r="L154" s="21"/>
      <c r="M154" s="21"/>
      <c r="N154" s="21"/>
      <c r="O154" s="21"/>
      <c r="P154" s="21"/>
      <c r="Q154" s="21"/>
      <c r="R154" s="498" t="s">
        <v>615</v>
      </c>
      <c r="S154" s="497"/>
      <c r="T154" s="497"/>
    </row>
    <row r="155" spans="1:96" x14ac:dyDescent="0.3">
      <c r="A155" s="4" t="s">
        <v>205</v>
      </c>
      <c r="Q155" s="91" t="s">
        <v>616</v>
      </c>
      <c r="R155" s="62"/>
      <c r="S155" s="21"/>
    </row>
    <row r="156" spans="1:96" s="6" customFormat="1" x14ac:dyDescent="0.3">
      <c r="A156" s="6" t="s">
        <v>180</v>
      </c>
    </row>
    <row r="157" spans="1:96" s="110" customFormat="1" ht="12" customHeight="1" x14ac:dyDescent="0.3">
      <c r="A157" s="153" t="s">
        <v>48</v>
      </c>
      <c r="B157" s="105" t="s">
        <v>0</v>
      </c>
      <c r="C157" s="105" t="s">
        <v>1</v>
      </c>
      <c r="D157" s="105" t="s">
        <v>2</v>
      </c>
      <c r="E157" s="105" t="s">
        <v>3</v>
      </c>
      <c r="F157" s="105" t="s">
        <v>4</v>
      </c>
      <c r="G157" s="105" t="s">
        <v>5</v>
      </c>
      <c r="H157" s="105" t="s">
        <v>6</v>
      </c>
      <c r="I157" s="105" t="s">
        <v>7</v>
      </c>
      <c r="J157" s="105" t="s">
        <v>8</v>
      </c>
      <c r="K157" s="105" t="s">
        <v>9</v>
      </c>
      <c r="L157" s="105" t="s">
        <v>10</v>
      </c>
      <c r="M157" s="105" t="s">
        <v>11</v>
      </c>
      <c r="N157" s="105" t="s">
        <v>12</v>
      </c>
      <c r="O157" s="105" t="s">
        <v>13</v>
      </c>
      <c r="P157" s="105" t="s">
        <v>14</v>
      </c>
      <c r="Q157" s="105" t="s">
        <v>15</v>
      </c>
      <c r="R157" s="105" t="s">
        <v>16</v>
      </c>
      <c r="S157" s="105" t="s">
        <v>17</v>
      </c>
      <c r="T157" s="105" t="s">
        <v>18</v>
      </c>
      <c r="U157" s="126"/>
      <c r="V157" s="126"/>
      <c r="W157" s="126"/>
      <c r="X157" s="154"/>
      <c r="Y157" s="126"/>
      <c r="Z157" s="126"/>
      <c r="AA157" s="154"/>
      <c r="AB157" s="126"/>
      <c r="AC157" s="126"/>
      <c r="AD157" s="126"/>
      <c r="AE157" s="126"/>
      <c r="AF157" s="126"/>
      <c r="AG157" s="126"/>
      <c r="AH157" s="126"/>
      <c r="AI157" s="126"/>
      <c r="AJ157" s="126"/>
      <c r="AK157" s="126"/>
      <c r="AL157" s="126"/>
      <c r="AM157" s="126"/>
      <c r="AN157" s="126"/>
      <c r="AO157" s="126"/>
      <c r="AP157" s="126"/>
      <c r="AQ157" s="126"/>
      <c r="AR157" s="126"/>
      <c r="AS157" s="126"/>
      <c r="AT157" s="126"/>
      <c r="AU157" s="126"/>
      <c r="AV157" s="126"/>
      <c r="AW157" s="126"/>
      <c r="AX157" s="126"/>
      <c r="AY157" s="126"/>
      <c r="AZ157" s="126"/>
      <c r="BA157" s="126"/>
      <c r="BB157" s="126"/>
      <c r="BC157" s="126"/>
      <c r="BD157" s="126"/>
      <c r="BE157" s="126"/>
      <c r="BF157" s="126"/>
      <c r="BG157" s="126"/>
      <c r="BH157" s="126"/>
      <c r="BI157" s="126"/>
      <c r="BJ157" s="126"/>
      <c r="BK157" s="126"/>
      <c r="BL157" s="126"/>
      <c r="BM157" s="126"/>
      <c r="BN157" s="126"/>
      <c r="BO157" s="126"/>
      <c r="BP157" s="126"/>
      <c r="BQ157" s="126"/>
      <c r="BR157" s="126"/>
      <c r="BS157" s="126"/>
      <c r="BT157" s="126"/>
      <c r="BU157" s="126"/>
      <c r="BV157" s="126"/>
      <c r="BW157" s="126"/>
      <c r="BX157" s="126"/>
      <c r="BY157" s="126"/>
      <c r="BZ157" s="126"/>
      <c r="CA157" s="126"/>
      <c r="CB157" s="126"/>
      <c r="CC157" s="126"/>
      <c r="CD157" s="126"/>
      <c r="CE157" s="126"/>
      <c r="CF157" s="126"/>
      <c r="CG157" s="126"/>
      <c r="CH157" s="126"/>
      <c r="CI157" s="126"/>
      <c r="CJ157" s="126"/>
      <c r="CK157" s="126"/>
      <c r="CL157" s="126"/>
      <c r="CM157" s="126"/>
      <c r="CN157" s="126"/>
      <c r="CO157" s="126"/>
      <c r="CP157" s="126"/>
      <c r="CQ157" s="126"/>
      <c r="CR157" s="126"/>
    </row>
    <row r="158" spans="1:96" s="48" customFormat="1" x14ac:dyDescent="0.3">
      <c r="A158" s="51" t="s">
        <v>66</v>
      </c>
      <c r="B158" s="60">
        <v>90949</v>
      </c>
      <c r="C158" s="60">
        <v>92147</v>
      </c>
      <c r="D158" s="60">
        <v>100013</v>
      </c>
      <c r="E158" s="60">
        <v>101468</v>
      </c>
      <c r="F158" s="60">
        <v>102604</v>
      </c>
      <c r="G158" s="60">
        <v>98710</v>
      </c>
      <c r="H158" s="60">
        <v>99171</v>
      </c>
      <c r="I158" s="60">
        <v>107681</v>
      </c>
      <c r="J158" s="60">
        <v>133953</v>
      </c>
      <c r="K158" s="60">
        <v>111292</v>
      </c>
      <c r="L158" s="60">
        <v>120576</v>
      </c>
      <c r="M158" s="60">
        <v>108180</v>
      </c>
      <c r="N158" s="60">
        <v>121202</v>
      </c>
      <c r="O158" s="60">
        <v>137782</v>
      </c>
      <c r="P158" s="60">
        <v>124115</v>
      </c>
      <c r="Q158" s="60">
        <v>126255</v>
      </c>
      <c r="R158" s="60">
        <v>122387</v>
      </c>
      <c r="S158" s="60">
        <v>117944</v>
      </c>
      <c r="T158" s="60">
        <v>128937</v>
      </c>
    </row>
    <row r="159" spans="1:96" x14ac:dyDescent="0.3">
      <c r="A159" s="4" t="s">
        <v>67</v>
      </c>
      <c r="B159" s="29">
        <v>100031</v>
      </c>
      <c r="C159" s="29">
        <v>104447</v>
      </c>
      <c r="D159" s="29">
        <v>112204</v>
      </c>
      <c r="E159" s="29">
        <v>121492</v>
      </c>
      <c r="F159" s="29">
        <v>132039</v>
      </c>
      <c r="G159" s="29">
        <v>134033</v>
      </c>
      <c r="H159" s="29">
        <v>139335</v>
      </c>
      <c r="I159" s="29">
        <v>154245</v>
      </c>
      <c r="J159" s="29">
        <v>176776</v>
      </c>
      <c r="K159" s="29">
        <v>163094</v>
      </c>
      <c r="L159" s="29">
        <v>173455</v>
      </c>
      <c r="M159" s="29">
        <v>157380</v>
      </c>
      <c r="N159" s="29">
        <v>178619</v>
      </c>
      <c r="O159" s="29">
        <v>192203</v>
      </c>
      <c r="P159" s="29">
        <v>196397</v>
      </c>
      <c r="Q159" s="29">
        <v>205764</v>
      </c>
      <c r="R159" s="29">
        <v>212563</v>
      </c>
      <c r="S159" s="29">
        <v>211927</v>
      </c>
      <c r="T159" s="29">
        <v>228406</v>
      </c>
    </row>
    <row r="160" spans="1:96" x14ac:dyDescent="0.3">
      <c r="A160" s="4" t="s">
        <v>34</v>
      </c>
      <c r="B160" s="21">
        <f>B158-B159</f>
        <v>-9082</v>
      </c>
      <c r="C160" s="21">
        <f t="shared" ref="C160:T160" si="9">C158-C159</f>
        <v>-12300</v>
      </c>
      <c r="D160" s="21">
        <f t="shared" si="9"/>
        <v>-12191</v>
      </c>
      <c r="E160" s="21">
        <f t="shared" si="9"/>
        <v>-20024</v>
      </c>
      <c r="F160" s="21">
        <f t="shared" si="9"/>
        <v>-29435</v>
      </c>
      <c r="G160" s="21">
        <f t="shared" si="9"/>
        <v>-35323</v>
      </c>
      <c r="H160" s="21">
        <f t="shared" si="9"/>
        <v>-40164</v>
      </c>
      <c r="I160" s="21">
        <f t="shared" si="9"/>
        <v>-46564</v>
      </c>
      <c r="J160" s="21">
        <f t="shared" si="9"/>
        <v>-42823</v>
      </c>
      <c r="K160" s="21">
        <f t="shared" si="9"/>
        <v>-51802</v>
      </c>
      <c r="L160" s="21">
        <f t="shared" si="9"/>
        <v>-52879</v>
      </c>
      <c r="M160" s="21">
        <f t="shared" si="9"/>
        <v>-49200</v>
      </c>
      <c r="N160" s="21">
        <f t="shared" si="9"/>
        <v>-57417</v>
      </c>
      <c r="O160" s="21">
        <f t="shared" si="9"/>
        <v>-54421</v>
      </c>
      <c r="P160" s="21">
        <f t="shared" si="9"/>
        <v>-72282</v>
      </c>
      <c r="Q160" s="21">
        <f t="shared" si="9"/>
        <v>-79509</v>
      </c>
      <c r="R160" s="21">
        <f t="shared" si="9"/>
        <v>-90176</v>
      </c>
      <c r="S160" s="21">
        <f t="shared" si="9"/>
        <v>-93983</v>
      </c>
      <c r="T160" s="21">
        <f t="shared" si="9"/>
        <v>-99469</v>
      </c>
    </row>
    <row r="161" spans="1:96" x14ac:dyDescent="0.3">
      <c r="A161" s="4"/>
      <c r="B161" s="21"/>
      <c r="C161" s="21"/>
      <c r="D161" s="21"/>
      <c r="E161" s="21"/>
      <c r="F161" s="21"/>
      <c r="G161" s="21"/>
      <c r="H161" s="21"/>
      <c r="I161" s="21"/>
      <c r="J161" s="21"/>
      <c r="K161" s="21"/>
      <c r="L161" s="21"/>
      <c r="M161" s="21"/>
      <c r="N161" s="21"/>
      <c r="O161" s="21"/>
      <c r="P161" s="21"/>
      <c r="Q161" s="21"/>
      <c r="R161" s="21"/>
      <c r="S161" s="21"/>
      <c r="T161" s="21"/>
    </row>
    <row r="162" spans="1:96" s="110" customFormat="1" ht="12" customHeight="1" x14ac:dyDescent="0.3">
      <c r="A162" s="153" t="s">
        <v>48</v>
      </c>
      <c r="B162" s="105" t="s">
        <v>0</v>
      </c>
      <c r="C162" s="105" t="s">
        <v>1</v>
      </c>
      <c r="D162" s="105" t="s">
        <v>2</v>
      </c>
      <c r="E162" s="105" t="s">
        <v>3</v>
      </c>
      <c r="F162" s="105" t="s">
        <v>4</v>
      </c>
      <c r="G162" s="105" t="s">
        <v>5</v>
      </c>
      <c r="H162" s="105" t="s">
        <v>6</v>
      </c>
      <c r="I162" s="105" t="s">
        <v>7</v>
      </c>
      <c r="J162" s="105" t="s">
        <v>8</v>
      </c>
      <c r="K162" s="105" t="s">
        <v>9</v>
      </c>
      <c r="L162" s="105" t="s">
        <v>10</v>
      </c>
      <c r="M162" s="105" t="s">
        <v>11</v>
      </c>
      <c r="N162" s="105" t="s">
        <v>12</v>
      </c>
      <c r="O162" s="105" t="s">
        <v>13</v>
      </c>
      <c r="P162" s="105" t="s">
        <v>14</v>
      </c>
      <c r="Q162" s="105" t="s">
        <v>15</v>
      </c>
      <c r="R162" s="105" t="s">
        <v>16</v>
      </c>
      <c r="S162" s="105" t="s">
        <v>17</v>
      </c>
      <c r="T162" s="105" t="s">
        <v>18</v>
      </c>
      <c r="U162" s="126"/>
      <c r="V162" s="126"/>
      <c r="W162" s="126"/>
      <c r="X162" s="154"/>
      <c r="Y162" s="126"/>
      <c r="Z162" s="126"/>
      <c r="AA162" s="154"/>
      <c r="AB162" s="126"/>
      <c r="AC162" s="126"/>
      <c r="AD162" s="126"/>
      <c r="AE162" s="126"/>
      <c r="AF162" s="126"/>
      <c r="AG162" s="126"/>
      <c r="AH162" s="126"/>
      <c r="AI162" s="126"/>
      <c r="AJ162" s="126"/>
      <c r="AK162" s="126"/>
      <c r="AL162" s="126"/>
      <c r="AM162" s="126"/>
      <c r="AN162" s="126"/>
      <c r="AO162" s="126"/>
      <c r="AP162" s="126"/>
      <c r="AQ162" s="126"/>
      <c r="AR162" s="126"/>
      <c r="AS162" s="126"/>
      <c r="AT162" s="126"/>
      <c r="AU162" s="126"/>
      <c r="AV162" s="126"/>
      <c r="AW162" s="126"/>
      <c r="AX162" s="126"/>
      <c r="AY162" s="126"/>
      <c r="AZ162" s="126"/>
      <c r="BA162" s="126"/>
      <c r="BB162" s="126"/>
      <c r="BC162" s="126"/>
      <c r="BD162" s="126"/>
      <c r="BE162" s="126"/>
      <c r="BF162" s="126"/>
      <c r="BG162" s="126"/>
      <c r="BH162" s="126"/>
      <c r="BI162" s="126"/>
      <c r="BJ162" s="126"/>
      <c r="BK162" s="126"/>
      <c r="BL162" s="126"/>
      <c r="BM162" s="126"/>
      <c r="BN162" s="126"/>
      <c r="BO162" s="126"/>
      <c r="BP162" s="126"/>
      <c r="BQ162" s="126"/>
      <c r="BR162" s="126"/>
      <c r="BS162" s="126"/>
      <c r="BT162" s="126"/>
      <c r="BU162" s="126"/>
      <c r="BV162" s="126"/>
      <c r="BW162" s="126"/>
      <c r="BX162" s="126"/>
      <c r="BY162" s="126"/>
      <c r="BZ162" s="126"/>
      <c r="CA162" s="126"/>
      <c r="CB162" s="126"/>
      <c r="CC162" s="126"/>
      <c r="CD162" s="126"/>
      <c r="CE162" s="126"/>
      <c r="CF162" s="126"/>
      <c r="CG162" s="126"/>
      <c r="CH162" s="126"/>
      <c r="CI162" s="126"/>
      <c r="CJ162" s="126"/>
      <c r="CK162" s="126"/>
      <c r="CL162" s="126"/>
      <c r="CM162" s="126"/>
      <c r="CN162" s="126"/>
      <c r="CO162" s="126"/>
      <c r="CP162" s="126"/>
      <c r="CQ162" s="126"/>
      <c r="CR162" s="126"/>
    </row>
    <row r="163" spans="1:96" s="48" customFormat="1" x14ac:dyDescent="0.3">
      <c r="A163" s="51" t="s">
        <v>68</v>
      </c>
      <c r="B163" s="60">
        <v>58802</v>
      </c>
      <c r="C163" s="60">
        <v>57431</v>
      </c>
      <c r="D163" s="60">
        <v>64302</v>
      </c>
      <c r="E163" s="60">
        <v>64321</v>
      </c>
      <c r="F163" s="60">
        <v>60376</v>
      </c>
      <c r="G163" s="60">
        <v>65510</v>
      </c>
      <c r="H163" s="60">
        <v>67838</v>
      </c>
      <c r="I163" s="60">
        <v>76727</v>
      </c>
      <c r="J163" s="60">
        <v>80038</v>
      </c>
      <c r="K163" s="60">
        <v>81523</v>
      </c>
      <c r="L163" s="60">
        <v>97359</v>
      </c>
      <c r="M163" s="60">
        <v>92077</v>
      </c>
      <c r="N163" s="60">
        <v>110805</v>
      </c>
      <c r="O163" s="60">
        <v>127646</v>
      </c>
      <c r="P163" s="60">
        <v>133978</v>
      </c>
      <c r="Q163" s="60">
        <v>135433</v>
      </c>
      <c r="R163" s="60">
        <v>133922</v>
      </c>
      <c r="S163" s="60">
        <v>139363</v>
      </c>
      <c r="T163" s="60">
        <v>141588</v>
      </c>
    </row>
    <row r="164" spans="1:96" x14ac:dyDescent="0.3">
      <c r="A164" s="4" t="s">
        <v>69</v>
      </c>
      <c r="B164" s="99">
        <v>69879</v>
      </c>
      <c r="C164" s="99">
        <v>74168</v>
      </c>
      <c r="D164" s="99">
        <v>87469</v>
      </c>
      <c r="E164" s="99">
        <v>87006</v>
      </c>
      <c r="F164" s="99">
        <v>82309</v>
      </c>
      <c r="G164" s="99">
        <v>83193</v>
      </c>
      <c r="H164" s="99">
        <v>87577</v>
      </c>
      <c r="I164" s="99">
        <v>94750</v>
      </c>
      <c r="J164" s="99">
        <v>107931</v>
      </c>
      <c r="K164" s="99">
        <v>111086</v>
      </c>
      <c r="L164" s="99">
        <v>122672</v>
      </c>
      <c r="M164" s="99">
        <v>117593</v>
      </c>
      <c r="N164" s="99">
        <v>137925</v>
      </c>
      <c r="O164" s="99">
        <v>142366</v>
      </c>
      <c r="P164" s="99">
        <v>146177</v>
      </c>
      <c r="Q164" s="99">
        <v>152068</v>
      </c>
      <c r="R164" s="99">
        <v>150470</v>
      </c>
      <c r="S164" s="99">
        <v>153675</v>
      </c>
      <c r="T164" s="99">
        <v>167702</v>
      </c>
    </row>
    <row r="165" spans="1:96" x14ac:dyDescent="0.3">
      <c r="A165" s="4" t="s">
        <v>34</v>
      </c>
      <c r="B165" s="21">
        <f>B163-B164</f>
        <v>-11077</v>
      </c>
      <c r="C165" s="21">
        <f t="shared" ref="C165:T165" si="10">C163-C164</f>
        <v>-16737</v>
      </c>
      <c r="D165" s="21">
        <f t="shared" si="10"/>
        <v>-23167</v>
      </c>
      <c r="E165" s="21">
        <f t="shared" si="10"/>
        <v>-22685</v>
      </c>
      <c r="F165" s="21">
        <f t="shared" si="10"/>
        <v>-21933</v>
      </c>
      <c r="G165" s="21">
        <f t="shared" si="10"/>
        <v>-17683</v>
      </c>
      <c r="H165" s="21">
        <f t="shared" si="10"/>
        <v>-19739</v>
      </c>
      <c r="I165" s="21">
        <f t="shared" si="10"/>
        <v>-18023</v>
      </c>
      <c r="J165" s="21">
        <f t="shared" si="10"/>
        <v>-27893</v>
      </c>
      <c r="K165" s="21">
        <f t="shared" si="10"/>
        <v>-29563</v>
      </c>
      <c r="L165" s="21">
        <f t="shared" si="10"/>
        <v>-25313</v>
      </c>
      <c r="M165" s="21">
        <f t="shared" si="10"/>
        <v>-25516</v>
      </c>
      <c r="N165" s="21">
        <f t="shared" si="10"/>
        <v>-27120</v>
      </c>
      <c r="O165" s="21">
        <f t="shared" si="10"/>
        <v>-14720</v>
      </c>
      <c r="P165" s="21">
        <f t="shared" si="10"/>
        <v>-12199</v>
      </c>
      <c r="Q165" s="21">
        <f t="shared" si="10"/>
        <v>-16635</v>
      </c>
      <c r="R165" s="21">
        <f t="shared" si="10"/>
        <v>-16548</v>
      </c>
      <c r="S165" s="21">
        <f t="shared" si="10"/>
        <v>-14312</v>
      </c>
      <c r="T165" s="21">
        <f t="shared" si="10"/>
        <v>-26114</v>
      </c>
    </row>
    <row r="166" spans="1:96" x14ac:dyDescent="0.3">
      <c r="A166" s="4"/>
      <c r="B166" s="21"/>
      <c r="C166" s="21"/>
      <c r="D166" s="21"/>
      <c r="E166" s="21"/>
      <c r="F166" s="21"/>
      <c r="G166" s="21"/>
      <c r="H166" s="21"/>
      <c r="I166" s="21"/>
      <c r="J166" s="21"/>
      <c r="K166" s="21"/>
      <c r="L166" s="21"/>
      <c r="M166" s="21"/>
      <c r="N166" s="21"/>
      <c r="O166" s="21"/>
      <c r="P166" s="21"/>
      <c r="Q166" s="21"/>
      <c r="R166" s="21"/>
      <c r="S166" s="21"/>
      <c r="T166" s="21"/>
    </row>
    <row r="167" spans="1:96" x14ac:dyDescent="0.3">
      <c r="A167" s="4" t="s">
        <v>277</v>
      </c>
    </row>
    <row r="168" spans="1:96" ht="37.200000000000003" customHeight="1" x14ac:dyDescent="0.3">
      <c r="A168" s="689" t="s">
        <v>278</v>
      </c>
      <c r="B168" s="689"/>
      <c r="C168" s="689"/>
      <c r="D168" s="689"/>
      <c r="E168" s="689"/>
      <c r="F168" s="689"/>
      <c r="G168" s="689"/>
    </row>
    <row r="169" spans="1:96" s="6" customFormat="1" x14ac:dyDescent="0.3"/>
    <row r="170" spans="1:96" ht="18" x14ac:dyDescent="0.35">
      <c r="A170" s="204" t="s">
        <v>501</v>
      </c>
    </row>
    <row r="171" spans="1:96" x14ac:dyDescent="0.3">
      <c r="A171" s="2" t="s">
        <v>526</v>
      </c>
    </row>
    <row r="173" spans="1:96" s="106" customFormat="1" x14ac:dyDescent="0.3">
      <c r="A173" s="104" t="s">
        <v>48</v>
      </c>
      <c r="B173" s="105" t="s">
        <v>0</v>
      </c>
      <c r="C173" s="105" t="s">
        <v>1</v>
      </c>
      <c r="D173" s="105" t="s">
        <v>2</v>
      </c>
      <c r="E173" s="105">
        <v>2001</v>
      </c>
      <c r="F173" s="105" t="s">
        <v>4</v>
      </c>
      <c r="G173" s="105" t="s">
        <v>5</v>
      </c>
      <c r="H173" s="105" t="s">
        <v>6</v>
      </c>
      <c r="I173" s="105" t="s">
        <v>7</v>
      </c>
      <c r="J173" s="105" t="s">
        <v>8</v>
      </c>
      <c r="K173" s="105" t="s">
        <v>9</v>
      </c>
      <c r="L173" s="105" t="s">
        <v>10</v>
      </c>
      <c r="M173" s="105" t="s">
        <v>11</v>
      </c>
      <c r="N173" s="105" t="s">
        <v>12</v>
      </c>
      <c r="O173" s="105" t="s">
        <v>13</v>
      </c>
      <c r="P173" s="105" t="s">
        <v>14</v>
      </c>
      <c r="Q173" s="105" t="s">
        <v>15</v>
      </c>
      <c r="R173" s="105" t="s">
        <v>16</v>
      </c>
      <c r="S173" s="105" t="s">
        <v>17</v>
      </c>
      <c r="T173" s="105" t="s">
        <v>18</v>
      </c>
    </row>
    <row r="174" spans="1:96" x14ac:dyDescent="0.3">
      <c r="A174" s="31" t="s">
        <v>496</v>
      </c>
      <c r="B174" s="91">
        <v>70.900000000000006</v>
      </c>
      <c r="C174" s="91">
        <v>71.212000000000003</v>
      </c>
      <c r="D174" s="91">
        <v>72.688000000000002</v>
      </c>
      <c r="E174" s="91">
        <v>73.581000000000003</v>
      </c>
      <c r="F174" s="91">
        <v>75.302999999999997</v>
      </c>
      <c r="G174" s="91">
        <v>76.950999999999993</v>
      </c>
      <c r="H174" s="91">
        <v>79.093000000000004</v>
      </c>
      <c r="I174" s="91">
        <v>81.158000000000001</v>
      </c>
      <c r="J174" s="91">
        <v>83.698999999999998</v>
      </c>
      <c r="K174" s="91">
        <v>85.777000000000001</v>
      </c>
      <c r="L174" s="91">
        <v>88.007999999999996</v>
      </c>
      <c r="M174" s="91">
        <v>89.287000000000006</v>
      </c>
      <c r="N174" s="91">
        <v>90.918000000000006</v>
      </c>
      <c r="O174" s="91">
        <v>92.227999999999994</v>
      </c>
      <c r="P174" s="91">
        <v>94.144000000000005</v>
      </c>
      <c r="Q174" s="91">
        <v>95.751999999999995</v>
      </c>
      <c r="R174" s="91">
        <v>97.14</v>
      </c>
      <c r="S174" s="91">
        <v>97.793999999999997</v>
      </c>
      <c r="T174" s="91">
        <v>100</v>
      </c>
    </row>
    <row r="175" spans="1:96" x14ac:dyDescent="0.3">
      <c r="A175" s="91" t="s">
        <v>497</v>
      </c>
      <c r="B175" s="62">
        <f>100/B174</f>
        <v>1.4104372355430181</v>
      </c>
      <c r="C175" s="62">
        <f>100/C174</f>
        <v>1.4042577093748243</v>
      </c>
      <c r="D175" s="62">
        <f t="shared" ref="D175:T175" si="11">100/D174</f>
        <v>1.37574290116663</v>
      </c>
      <c r="E175" s="62">
        <f t="shared" si="11"/>
        <v>1.3590464929805248</v>
      </c>
      <c r="F175" s="62">
        <f t="shared" si="11"/>
        <v>1.3279683412347449</v>
      </c>
      <c r="G175" s="62">
        <f t="shared" si="11"/>
        <v>1.2995282712375409</v>
      </c>
      <c r="H175" s="62">
        <f t="shared" si="11"/>
        <v>1.264334391159774</v>
      </c>
      <c r="I175" s="62">
        <f t="shared" si="11"/>
        <v>1.2321644200202075</v>
      </c>
      <c r="J175" s="62">
        <f t="shared" si="11"/>
        <v>1.1947574045090146</v>
      </c>
      <c r="K175" s="62">
        <f t="shared" si="11"/>
        <v>1.165813679657717</v>
      </c>
      <c r="L175" s="62">
        <f t="shared" si="11"/>
        <v>1.1362603399690938</v>
      </c>
      <c r="M175" s="62">
        <f t="shared" si="11"/>
        <v>1.1199838722322397</v>
      </c>
      <c r="N175" s="62">
        <f t="shared" si="11"/>
        <v>1.0998922105633646</v>
      </c>
      <c r="O175" s="62">
        <f t="shared" si="11"/>
        <v>1.0842694192652991</v>
      </c>
      <c r="P175" s="62">
        <f t="shared" si="11"/>
        <v>1.0622025832766824</v>
      </c>
      <c r="Q175" s="62">
        <f t="shared" si="11"/>
        <v>1.0443646085721447</v>
      </c>
      <c r="R175" s="62">
        <f t="shared" si="11"/>
        <v>1.0294420424130122</v>
      </c>
      <c r="S175" s="62">
        <f t="shared" si="11"/>
        <v>1.0225576211219503</v>
      </c>
      <c r="T175" s="62">
        <f t="shared" si="11"/>
        <v>1</v>
      </c>
    </row>
    <row r="178" spans="1:20" ht="18" x14ac:dyDescent="0.35">
      <c r="A178" s="204" t="s">
        <v>524</v>
      </c>
    </row>
    <row r="179" spans="1:20" ht="28.8" customHeight="1" x14ac:dyDescent="0.3">
      <c r="A179" s="687" t="s">
        <v>525</v>
      </c>
      <c r="B179" s="687"/>
      <c r="C179" s="687"/>
      <c r="D179" s="687"/>
      <c r="E179" s="687"/>
      <c r="F179" s="687"/>
      <c r="G179" s="687"/>
      <c r="H179" s="687"/>
      <c r="I179" s="687"/>
      <c r="J179" s="687"/>
    </row>
    <row r="180" spans="1:20" s="106" customFormat="1" x14ac:dyDescent="0.3">
      <c r="A180" s="104" t="s">
        <v>48</v>
      </c>
      <c r="B180" s="105" t="s">
        <v>0</v>
      </c>
      <c r="C180" s="105" t="s">
        <v>1</v>
      </c>
      <c r="D180" s="105" t="s">
        <v>2</v>
      </c>
      <c r="E180" s="105">
        <v>2001</v>
      </c>
      <c r="F180" s="105" t="s">
        <v>4</v>
      </c>
      <c r="G180" s="105" t="s">
        <v>5</v>
      </c>
      <c r="H180" s="105" t="s">
        <v>6</v>
      </c>
      <c r="I180" s="105" t="s">
        <v>7</v>
      </c>
      <c r="J180" s="105" t="s">
        <v>8</v>
      </c>
      <c r="K180" s="105" t="s">
        <v>9</v>
      </c>
      <c r="L180" s="105" t="s">
        <v>10</v>
      </c>
      <c r="M180" s="105" t="s">
        <v>11</v>
      </c>
      <c r="N180" s="105" t="s">
        <v>12</v>
      </c>
      <c r="O180" s="105" t="s">
        <v>13</v>
      </c>
      <c r="P180" s="105" t="s">
        <v>14</v>
      </c>
      <c r="Q180" s="105" t="s">
        <v>15</v>
      </c>
      <c r="R180" s="105" t="s">
        <v>16</v>
      </c>
      <c r="S180" s="105" t="s">
        <v>17</v>
      </c>
      <c r="T180" s="105" t="s">
        <v>18</v>
      </c>
    </row>
    <row r="181" spans="1:20" x14ac:dyDescent="0.3">
      <c r="A181" s="31" t="s">
        <v>519</v>
      </c>
      <c r="B181" s="91">
        <f>83</f>
        <v>83</v>
      </c>
      <c r="C181" s="91">
        <v>82.6</v>
      </c>
      <c r="D181" s="91">
        <v>84.7</v>
      </c>
      <c r="E181" s="91">
        <v>84.5</v>
      </c>
      <c r="F181" s="91">
        <v>82.4</v>
      </c>
      <c r="G181" s="91">
        <v>83</v>
      </c>
      <c r="H181" s="91">
        <v>81.900000000000006</v>
      </c>
      <c r="I181" s="91">
        <v>84.8</v>
      </c>
      <c r="J181" s="91">
        <v>86.6</v>
      </c>
      <c r="K181" s="91">
        <v>86.5</v>
      </c>
      <c r="L181" s="91">
        <v>97.7</v>
      </c>
      <c r="M181" s="91">
        <v>100.4</v>
      </c>
      <c r="N181" s="91">
        <v>104</v>
      </c>
      <c r="O181" s="91">
        <v>111</v>
      </c>
      <c r="P181" s="91">
        <v>110.1</v>
      </c>
      <c r="Q181" s="91">
        <v>111.1</v>
      </c>
      <c r="R181" s="91">
        <v>106.3</v>
      </c>
      <c r="S181" s="91">
        <v>100</v>
      </c>
      <c r="T181" s="91">
        <v>103.4</v>
      </c>
    </row>
    <row r="182" spans="1:20" x14ac:dyDescent="0.3">
      <c r="A182" s="31" t="s">
        <v>521</v>
      </c>
      <c r="B182" s="91">
        <f>B181/100</f>
        <v>0.83</v>
      </c>
      <c r="C182" s="91">
        <f>C181/100</f>
        <v>0.82599999999999996</v>
      </c>
      <c r="D182" s="91">
        <f>D181/100</f>
        <v>0.84699999999999998</v>
      </c>
      <c r="E182" s="91">
        <f>E181/100</f>
        <v>0.84499999999999997</v>
      </c>
      <c r="F182" s="91">
        <f t="shared" ref="F182:T182" si="12">F181/100</f>
        <v>0.82400000000000007</v>
      </c>
      <c r="G182" s="91">
        <f t="shared" si="12"/>
        <v>0.83</v>
      </c>
      <c r="H182" s="91">
        <f t="shared" si="12"/>
        <v>0.81900000000000006</v>
      </c>
      <c r="I182" s="91">
        <f t="shared" si="12"/>
        <v>0.84799999999999998</v>
      </c>
      <c r="J182" s="91">
        <f t="shared" si="12"/>
        <v>0.86599999999999999</v>
      </c>
      <c r="K182" s="91">
        <f t="shared" si="12"/>
        <v>0.86499999999999999</v>
      </c>
      <c r="L182" s="91">
        <f t="shared" si="12"/>
        <v>0.97699999999999998</v>
      </c>
      <c r="M182" s="91">
        <f t="shared" si="12"/>
        <v>1.004</v>
      </c>
      <c r="N182" s="91">
        <f t="shared" si="12"/>
        <v>1.04</v>
      </c>
      <c r="O182" s="91">
        <f t="shared" si="12"/>
        <v>1.1100000000000001</v>
      </c>
      <c r="P182" s="91">
        <f t="shared" si="12"/>
        <v>1.101</v>
      </c>
      <c r="Q182" s="91">
        <f t="shared" si="12"/>
        <v>1.111</v>
      </c>
      <c r="R182" s="91">
        <f t="shared" si="12"/>
        <v>1.0629999999999999</v>
      </c>
      <c r="S182" s="91">
        <f t="shared" si="12"/>
        <v>1</v>
      </c>
      <c r="T182" s="91">
        <f t="shared" si="12"/>
        <v>1.034</v>
      </c>
    </row>
    <row r="183" spans="1:20" x14ac:dyDescent="0.3">
      <c r="A183" s="91" t="s">
        <v>520</v>
      </c>
      <c r="B183" s="62">
        <v>77.8</v>
      </c>
      <c r="C183" s="62">
        <v>78</v>
      </c>
      <c r="D183" s="62">
        <v>79.3</v>
      </c>
      <c r="E183" s="62">
        <v>79.900000000000006</v>
      </c>
      <c r="F183" s="62">
        <v>79.099999999999994</v>
      </c>
      <c r="G183" s="62">
        <v>80.8</v>
      </c>
      <c r="H183" s="62">
        <v>80.5</v>
      </c>
      <c r="I183" s="62">
        <v>82.5</v>
      </c>
      <c r="J183" s="62">
        <v>83.8</v>
      </c>
      <c r="K183" s="62">
        <v>83.2</v>
      </c>
      <c r="L183" s="62">
        <v>91.2</v>
      </c>
      <c r="M183" s="62">
        <v>94.7</v>
      </c>
      <c r="N183" s="62">
        <v>99.7</v>
      </c>
      <c r="O183" s="62">
        <v>105.1</v>
      </c>
      <c r="P183" s="62">
        <v>105.3</v>
      </c>
      <c r="Q183" s="62">
        <v>108.3</v>
      </c>
      <c r="R183" s="62">
        <v>105.3</v>
      </c>
      <c r="S183" s="62">
        <v>100</v>
      </c>
      <c r="T183" s="62">
        <v>104.8</v>
      </c>
    </row>
    <row r="184" spans="1:20" x14ac:dyDescent="0.3">
      <c r="A184" s="91" t="s">
        <v>522</v>
      </c>
      <c r="B184" s="91">
        <f>B183/100</f>
        <v>0.77800000000000002</v>
      </c>
      <c r="C184" s="91">
        <f>C183/100</f>
        <v>0.78</v>
      </c>
      <c r="D184" s="91">
        <f>D183/100</f>
        <v>0.79299999999999993</v>
      </c>
      <c r="E184" s="91">
        <f>E183/100</f>
        <v>0.79900000000000004</v>
      </c>
      <c r="F184" s="91">
        <f t="shared" ref="F184:T184" si="13">F183/100</f>
        <v>0.79099999999999993</v>
      </c>
      <c r="G184" s="91">
        <f t="shared" si="13"/>
        <v>0.80799999999999994</v>
      </c>
      <c r="H184" s="91">
        <f t="shared" si="13"/>
        <v>0.80500000000000005</v>
      </c>
      <c r="I184" s="91">
        <f t="shared" si="13"/>
        <v>0.82499999999999996</v>
      </c>
      <c r="J184" s="91">
        <f t="shared" si="13"/>
        <v>0.83799999999999997</v>
      </c>
      <c r="K184" s="91">
        <f t="shared" si="13"/>
        <v>0.83200000000000007</v>
      </c>
      <c r="L184" s="91">
        <f t="shared" si="13"/>
        <v>0.91200000000000003</v>
      </c>
      <c r="M184" s="91">
        <f t="shared" si="13"/>
        <v>0.94700000000000006</v>
      </c>
      <c r="N184" s="91">
        <f t="shared" si="13"/>
        <v>0.997</v>
      </c>
      <c r="O184" s="91">
        <f t="shared" si="13"/>
        <v>1.0509999999999999</v>
      </c>
      <c r="P184" s="91">
        <f t="shared" si="13"/>
        <v>1.0529999999999999</v>
      </c>
      <c r="Q184" s="91">
        <f t="shared" si="13"/>
        <v>1.083</v>
      </c>
      <c r="R184" s="91">
        <f t="shared" si="13"/>
        <v>1.0529999999999999</v>
      </c>
      <c r="S184" s="91">
        <f t="shared" si="13"/>
        <v>1</v>
      </c>
      <c r="T184" s="91">
        <f t="shared" si="13"/>
        <v>1.048</v>
      </c>
    </row>
    <row r="186" spans="1:20" x14ac:dyDescent="0.3">
      <c r="A186" s="92" t="s">
        <v>520</v>
      </c>
    </row>
    <row r="187" spans="1:20" x14ac:dyDescent="0.3">
      <c r="A187" s="92" t="s">
        <v>519</v>
      </c>
    </row>
  </sheetData>
  <mergeCells count="9">
    <mergeCell ref="A179:J179"/>
    <mergeCell ref="A2:M2"/>
    <mergeCell ref="A93:D93"/>
    <mergeCell ref="A168:G168"/>
    <mergeCell ref="A66:J66"/>
    <mergeCell ref="A67:J67"/>
    <mergeCell ref="A69:E69"/>
    <mergeCell ref="A70:J70"/>
    <mergeCell ref="A4:M4"/>
  </mergeCells>
  <hyperlinks>
    <hyperlink ref="A62" r:id="rId1" display="Source" xr:uid="{38509545-87BD-451A-8F02-0DC65A5C10A7}"/>
    <hyperlink ref="B97" r:id="rId2" display="ONS" xr:uid="{46664E3D-BD74-47F1-B2CF-F260AEA583B5}"/>
    <hyperlink ref="A40" r:id="rId3" display="Source for historic non-EU data" xr:uid="{62B0DEB8-46D9-4719-A69E-D3C2CE040EF5}"/>
    <hyperlink ref="A39" r:id="rId4" display="Source for historic EU data" xr:uid="{9E3F9B1A-5F51-4166-AC69-8981889ED9D0}"/>
    <hyperlink ref="A24" r:id="rId5" display="Source for historic non-EU data" xr:uid="{087E8731-CADB-4C12-9670-E5F1D0B2F887}"/>
    <hyperlink ref="A23" r:id="rId6" display="Source for historic EU data" xr:uid="{60B53673-7BA7-4464-8AF1-0C01390909FD}"/>
    <hyperlink ref="A186" r:id="rId7" xr:uid="{1032611F-A93D-487E-8F53-017BF1731706}"/>
    <hyperlink ref="A187" r:id="rId8" xr:uid="{D0154814-5E4A-42BC-8CBD-528B15F6B8E4}"/>
  </hyperlinks>
  <pageMargins left="0.7" right="0.7" top="0.75" bottom="0.75" header="0.3" footer="0.3"/>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191"/>
  <sheetViews>
    <sheetView topLeftCell="A159" zoomScale="90" zoomScaleNormal="90" workbookViewId="0">
      <selection activeCell="E188" sqref="E188"/>
    </sheetView>
  </sheetViews>
  <sheetFormatPr defaultRowHeight="14.4" x14ac:dyDescent="0.3"/>
  <cols>
    <col min="1" max="1" width="28" style="12" customWidth="1"/>
    <col min="2" max="2" width="18.21875" customWidth="1"/>
    <col min="29" max="29" width="9.21875" bestFit="1" customWidth="1"/>
  </cols>
  <sheetData>
    <row r="1" spans="1:98" s="68" customFormat="1" ht="54" customHeight="1" x14ac:dyDescent="0.45">
      <c r="A1" s="68" t="s">
        <v>136</v>
      </c>
    </row>
    <row r="2" spans="1:98" x14ac:dyDescent="0.3">
      <c r="A2" t="s">
        <v>118</v>
      </c>
    </row>
    <row r="3" spans="1:98" ht="88.2" customHeight="1" x14ac:dyDescent="0.3">
      <c r="A3" s="691" t="s">
        <v>619</v>
      </c>
      <c r="B3" s="691"/>
      <c r="C3" s="691"/>
      <c r="D3" s="691"/>
      <c r="E3" s="691"/>
      <c r="F3" s="691"/>
      <c r="G3" s="691"/>
      <c r="H3" s="691"/>
      <c r="I3" s="691"/>
      <c r="J3" s="691"/>
      <c r="K3" s="691"/>
      <c r="L3" s="691"/>
      <c r="M3" s="691"/>
      <c r="N3" s="691"/>
      <c r="O3" s="691"/>
      <c r="P3" s="691"/>
      <c r="Q3" s="691"/>
      <c r="R3" s="691"/>
    </row>
    <row r="4" spans="1:98" s="85" customFormat="1" ht="18" x14ac:dyDescent="0.35">
      <c r="A4" s="84" t="s">
        <v>173</v>
      </c>
    </row>
    <row r="5" spans="1:98" s="44" customFormat="1" x14ac:dyDescent="0.3">
      <c r="A5" s="76" t="s">
        <v>143</v>
      </c>
    </row>
    <row r="6" spans="1:98" s="39" customFormat="1" x14ac:dyDescent="0.3">
      <c r="A6" s="40"/>
      <c r="B6" s="40"/>
      <c r="C6" s="66" t="s">
        <v>94</v>
      </c>
      <c r="D6" s="37" t="s">
        <v>0</v>
      </c>
      <c r="E6" s="37" t="s">
        <v>1</v>
      </c>
      <c r="F6" s="37" t="s">
        <v>2</v>
      </c>
      <c r="G6" s="37" t="s">
        <v>3</v>
      </c>
      <c r="H6" s="37" t="s">
        <v>4</v>
      </c>
      <c r="I6" s="37" t="s">
        <v>5</v>
      </c>
      <c r="J6" s="37" t="s">
        <v>6</v>
      </c>
      <c r="K6" s="37" t="s">
        <v>7</v>
      </c>
      <c r="L6" s="37" t="s">
        <v>8</v>
      </c>
      <c r="M6" s="37" t="s">
        <v>9</v>
      </c>
      <c r="N6" s="37" t="s">
        <v>10</v>
      </c>
      <c r="O6" s="37" t="s">
        <v>11</v>
      </c>
      <c r="P6" s="37" t="s">
        <v>12</v>
      </c>
      <c r="Q6" s="37" t="s">
        <v>13</v>
      </c>
      <c r="R6" s="37" t="s">
        <v>14</v>
      </c>
      <c r="S6" s="37" t="s">
        <v>15</v>
      </c>
      <c r="T6" s="37" t="s">
        <v>16</v>
      </c>
      <c r="U6" s="37" t="s">
        <v>17</v>
      </c>
      <c r="V6" s="38" t="s">
        <v>18</v>
      </c>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row>
    <row r="7" spans="1:98" s="7" customFormat="1" x14ac:dyDescent="0.3">
      <c r="A7" s="31" t="s">
        <v>112</v>
      </c>
      <c r="B7" s="31"/>
      <c r="C7" s="31" t="s">
        <v>104</v>
      </c>
      <c r="D7" s="4">
        <v>163997</v>
      </c>
      <c r="E7" s="4">
        <v>166539</v>
      </c>
      <c r="F7" s="4">
        <v>188130</v>
      </c>
      <c r="G7" s="4">
        <v>189624</v>
      </c>
      <c r="H7" s="4">
        <v>186776</v>
      </c>
      <c r="I7" s="4">
        <v>188546</v>
      </c>
      <c r="J7" s="4">
        <v>191608</v>
      </c>
      <c r="K7" s="4">
        <v>212053</v>
      </c>
      <c r="L7" s="4">
        <v>243957</v>
      </c>
      <c r="M7" s="4">
        <v>222964</v>
      </c>
      <c r="N7" s="4">
        <v>254577</v>
      </c>
      <c r="O7" s="4">
        <v>229107</v>
      </c>
      <c r="P7" s="4">
        <v>270196</v>
      </c>
      <c r="Q7" s="4">
        <v>308171</v>
      </c>
      <c r="R7" s="4">
        <v>301621</v>
      </c>
      <c r="S7" s="4">
        <v>303147</v>
      </c>
      <c r="T7" s="4">
        <v>292894</v>
      </c>
      <c r="U7" s="4">
        <v>287584</v>
      </c>
      <c r="V7" s="4">
        <v>301405</v>
      </c>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row>
    <row r="8" spans="1:98" s="2" customFormat="1" x14ac:dyDescent="0.3">
      <c r="A8" s="31" t="s">
        <v>142</v>
      </c>
      <c r="B8" s="31"/>
      <c r="C8" s="73" t="s">
        <v>141</v>
      </c>
      <c r="D8" s="4">
        <v>186340</v>
      </c>
      <c r="E8" s="4">
        <v>195957</v>
      </c>
      <c r="F8" s="4">
        <v>221602</v>
      </c>
      <c r="G8" s="4">
        <v>231537</v>
      </c>
      <c r="H8" s="4">
        <v>235729</v>
      </c>
      <c r="I8" s="4">
        <v>239505</v>
      </c>
      <c r="J8" s="4">
        <v>253549</v>
      </c>
      <c r="K8" s="4">
        <v>282213</v>
      </c>
      <c r="L8" s="4">
        <v>322920</v>
      </c>
      <c r="M8" s="4">
        <v>313504</v>
      </c>
      <c r="N8" s="4">
        <v>349603</v>
      </c>
      <c r="O8" s="4">
        <v>315731</v>
      </c>
      <c r="P8" s="4">
        <v>367580</v>
      </c>
      <c r="Q8" s="4">
        <v>403126</v>
      </c>
      <c r="R8" s="4">
        <v>412528</v>
      </c>
      <c r="S8" s="4">
        <v>423811</v>
      </c>
      <c r="T8" s="4">
        <v>415469</v>
      </c>
      <c r="U8" s="4">
        <v>407304</v>
      </c>
      <c r="V8" s="4">
        <v>435472</v>
      </c>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row>
    <row r="9" spans="1:98" s="2" customFormat="1" x14ac:dyDescent="0.3">
      <c r="A9" s="31"/>
      <c r="B9" s="31"/>
      <c r="C9" s="73"/>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row>
    <row r="10" spans="1:98" s="39" customFormat="1" x14ac:dyDescent="0.3">
      <c r="A10" s="54" t="s">
        <v>164</v>
      </c>
      <c r="B10" s="40"/>
      <c r="C10" s="66" t="s">
        <v>94</v>
      </c>
      <c r="D10" s="37" t="s">
        <v>0</v>
      </c>
      <c r="E10" s="37" t="s">
        <v>1</v>
      </c>
      <c r="F10" s="37" t="s">
        <v>2</v>
      </c>
      <c r="G10" s="37" t="s">
        <v>3</v>
      </c>
      <c r="H10" s="37" t="s">
        <v>4</v>
      </c>
      <c r="I10" s="37" t="s">
        <v>5</v>
      </c>
      <c r="J10" s="37" t="s">
        <v>6</v>
      </c>
      <c r="K10" s="37" t="s">
        <v>7</v>
      </c>
      <c r="L10" s="37" t="s">
        <v>8</v>
      </c>
      <c r="M10" s="37" t="s">
        <v>9</v>
      </c>
      <c r="N10" s="37" t="s">
        <v>10</v>
      </c>
      <c r="O10" s="37" t="s">
        <v>11</v>
      </c>
      <c r="P10" s="37" t="s">
        <v>12</v>
      </c>
      <c r="Q10" s="37" t="s">
        <v>13</v>
      </c>
      <c r="R10" s="37" t="s">
        <v>14</v>
      </c>
      <c r="S10" s="37" t="s">
        <v>15</v>
      </c>
      <c r="T10" s="37" t="s">
        <v>16</v>
      </c>
      <c r="U10" s="37" t="s">
        <v>17</v>
      </c>
      <c r="V10" s="38" t="s">
        <v>18</v>
      </c>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row>
    <row r="11" spans="1:98" s="4" customFormat="1" ht="12" customHeight="1" x14ac:dyDescent="0.25">
      <c r="A11" s="31" t="s">
        <v>165</v>
      </c>
      <c r="B11" s="31"/>
      <c r="C11" s="32" t="s">
        <v>161</v>
      </c>
      <c r="D11" s="4">
        <v>99851</v>
      </c>
      <c r="E11" s="4">
        <v>101942</v>
      </c>
      <c r="F11" s="4">
        <v>113108</v>
      </c>
      <c r="G11" s="4">
        <v>115127</v>
      </c>
      <c r="H11" s="4">
        <v>115662</v>
      </c>
      <c r="I11" s="4">
        <v>112381</v>
      </c>
      <c r="J11" s="4">
        <v>112923</v>
      </c>
      <c r="K11" s="4">
        <v>123069</v>
      </c>
      <c r="L11" s="4">
        <v>151826</v>
      </c>
      <c r="M11" s="4">
        <v>128507</v>
      </c>
      <c r="N11" s="4">
        <v>142811</v>
      </c>
      <c r="O11" s="4">
        <v>125501</v>
      </c>
      <c r="P11" s="4">
        <v>145173</v>
      </c>
      <c r="Q11" s="4">
        <v>165085</v>
      </c>
      <c r="R11" s="4">
        <v>150685</v>
      </c>
      <c r="S11" s="4">
        <v>151256</v>
      </c>
      <c r="T11" s="4">
        <v>145472</v>
      </c>
      <c r="U11" s="4">
        <v>133957</v>
      </c>
      <c r="V11" s="4">
        <v>144175</v>
      </c>
      <c r="X11" s="4" t="s">
        <v>606</v>
      </c>
    </row>
    <row r="12" spans="1:98" s="2" customFormat="1" x14ac:dyDescent="0.3">
      <c r="A12" s="31" t="s">
        <v>166</v>
      </c>
      <c r="B12" s="31"/>
      <c r="C12" s="26" t="s">
        <v>162</v>
      </c>
      <c r="D12" s="4">
        <v>105698</v>
      </c>
      <c r="E12" s="4">
        <v>110110</v>
      </c>
      <c r="F12" s="4">
        <v>118548</v>
      </c>
      <c r="G12" s="4">
        <v>128310</v>
      </c>
      <c r="H12" s="4">
        <v>138825</v>
      </c>
      <c r="I12" s="4">
        <v>140712</v>
      </c>
      <c r="J12" s="4">
        <v>146257</v>
      </c>
      <c r="K12" s="4">
        <v>161921</v>
      </c>
      <c r="L12" s="4">
        <v>185105</v>
      </c>
      <c r="M12" s="4">
        <v>172514</v>
      </c>
      <c r="N12" s="4">
        <v>184751</v>
      </c>
      <c r="O12" s="4">
        <v>166062</v>
      </c>
      <c r="P12" s="4">
        <v>189072</v>
      </c>
      <c r="Q12" s="4">
        <v>204555</v>
      </c>
      <c r="R12" s="4">
        <v>209039</v>
      </c>
      <c r="S12" s="4">
        <v>220664</v>
      </c>
      <c r="T12" s="4">
        <v>224734</v>
      </c>
      <c r="U12" s="4">
        <v>222912</v>
      </c>
      <c r="V12" s="4">
        <v>239804</v>
      </c>
      <c r="W12" s="4"/>
      <c r="X12" s="4" t="s">
        <v>602</v>
      </c>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row>
    <row r="13" spans="1:98" s="2" customFormat="1" x14ac:dyDescent="0.3">
      <c r="A13" s="31"/>
      <c r="B13" s="31"/>
      <c r="C13" s="26"/>
      <c r="D13" s="4"/>
      <c r="E13" s="4"/>
      <c r="F13" s="4"/>
      <c r="G13" s="4"/>
      <c r="H13" s="4"/>
      <c r="I13" s="4"/>
      <c r="J13" s="4"/>
      <c r="K13" s="4"/>
      <c r="L13" s="4"/>
      <c r="M13" s="4"/>
      <c r="N13" s="4"/>
      <c r="O13" s="4"/>
      <c r="P13" s="4"/>
      <c r="Q13" s="4"/>
      <c r="R13" s="4"/>
      <c r="S13" s="457" t="s">
        <v>604</v>
      </c>
      <c r="T13" s="432">
        <v>231008</v>
      </c>
      <c r="U13" s="432">
        <v>225888</v>
      </c>
      <c r="V13" s="465">
        <v>241935</v>
      </c>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row>
    <row r="14" spans="1:98" s="2" customFormat="1" x14ac:dyDescent="0.3">
      <c r="A14" s="31"/>
      <c r="B14" s="31"/>
      <c r="C14" s="26"/>
      <c r="D14" s="4"/>
      <c r="E14" s="4"/>
      <c r="F14" s="4"/>
      <c r="G14" s="4"/>
      <c r="H14" s="4"/>
      <c r="I14" s="4"/>
      <c r="J14" s="4"/>
      <c r="K14" s="4"/>
      <c r="L14" s="4"/>
      <c r="M14" s="4"/>
      <c r="N14" s="4"/>
      <c r="O14" s="4"/>
      <c r="P14" s="4"/>
      <c r="Q14" s="4"/>
      <c r="R14" s="4"/>
      <c r="S14" s="466" t="s">
        <v>605</v>
      </c>
      <c r="T14" s="467">
        <v>152195</v>
      </c>
      <c r="U14" s="467">
        <v>138865</v>
      </c>
      <c r="V14" s="468">
        <v>145471</v>
      </c>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row>
    <row r="15" spans="1:98" s="39" customFormat="1" x14ac:dyDescent="0.3">
      <c r="A15" s="38" t="s">
        <v>163</v>
      </c>
      <c r="B15" s="40"/>
      <c r="C15" s="66" t="s">
        <v>94</v>
      </c>
      <c r="D15" s="37" t="s">
        <v>0</v>
      </c>
      <c r="E15" s="37" t="s">
        <v>1</v>
      </c>
      <c r="F15" s="37" t="s">
        <v>2</v>
      </c>
      <c r="G15" s="37" t="s">
        <v>3</v>
      </c>
      <c r="H15" s="37" t="s">
        <v>4</v>
      </c>
      <c r="I15" s="37" t="s">
        <v>5</v>
      </c>
      <c r="J15" s="37" t="s">
        <v>6</v>
      </c>
      <c r="K15" s="37" t="s">
        <v>7</v>
      </c>
      <c r="L15" s="37" t="s">
        <v>8</v>
      </c>
      <c r="M15" s="37" t="s">
        <v>9</v>
      </c>
      <c r="N15" s="37" t="s">
        <v>10</v>
      </c>
      <c r="O15" s="37" t="s">
        <v>11</v>
      </c>
      <c r="P15" s="37" t="s">
        <v>12</v>
      </c>
      <c r="Q15" s="37" t="s">
        <v>13</v>
      </c>
      <c r="R15" s="37" t="s">
        <v>14</v>
      </c>
      <c r="S15" s="37" t="s">
        <v>15</v>
      </c>
      <c r="T15" s="37" t="s">
        <v>16</v>
      </c>
      <c r="U15" s="37" t="s">
        <v>17</v>
      </c>
      <c r="V15" s="38" t="s">
        <v>18</v>
      </c>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row>
    <row r="16" spans="1:98" s="2" customFormat="1" x14ac:dyDescent="0.3">
      <c r="A16" s="31" t="s">
        <v>169</v>
      </c>
      <c r="B16" s="31"/>
      <c r="C16" s="26" t="s">
        <v>167</v>
      </c>
      <c r="D16" s="4">
        <v>64146</v>
      </c>
      <c r="E16" s="4">
        <v>64597</v>
      </c>
      <c r="F16" s="4">
        <v>75022</v>
      </c>
      <c r="G16" s="4">
        <v>74497</v>
      </c>
      <c r="H16" s="4">
        <v>71114</v>
      </c>
      <c r="I16" s="4">
        <v>76165</v>
      </c>
      <c r="J16" s="4">
        <v>78685</v>
      </c>
      <c r="K16" s="4">
        <v>88984</v>
      </c>
      <c r="L16" s="4">
        <v>92131</v>
      </c>
      <c r="M16" s="4">
        <v>94457</v>
      </c>
      <c r="N16" s="4">
        <v>111766</v>
      </c>
      <c r="O16" s="4">
        <v>103606</v>
      </c>
      <c r="P16" s="4">
        <v>125023</v>
      </c>
      <c r="Q16" s="4">
        <v>143086</v>
      </c>
      <c r="R16" s="4">
        <v>150936</v>
      </c>
      <c r="S16" s="4">
        <v>151891</v>
      </c>
      <c r="T16" s="4">
        <v>147422</v>
      </c>
      <c r="U16" s="4">
        <v>153627</v>
      </c>
      <c r="V16" s="4">
        <v>157230</v>
      </c>
      <c r="W16" s="4"/>
      <c r="X16" s="4" t="s">
        <v>601</v>
      </c>
      <c r="Y16" s="4"/>
      <c r="Z16" s="4"/>
      <c r="AA16" s="4"/>
      <c r="AB16" s="348" t="s">
        <v>275</v>
      </c>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row>
    <row r="17" spans="1:98" s="2" customFormat="1" x14ac:dyDescent="0.3">
      <c r="A17" s="31" t="s">
        <v>170</v>
      </c>
      <c r="B17" s="31"/>
      <c r="C17" s="32" t="s">
        <v>168</v>
      </c>
      <c r="D17" s="4">
        <v>80642</v>
      </c>
      <c r="E17" s="4">
        <v>85847</v>
      </c>
      <c r="F17" s="4">
        <v>103054</v>
      </c>
      <c r="G17" s="4">
        <v>103227</v>
      </c>
      <c r="H17" s="4">
        <v>96904</v>
      </c>
      <c r="I17" s="4">
        <v>98793</v>
      </c>
      <c r="J17" s="4">
        <v>107292</v>
      </c>
      <c r="K17" s="4">
        <v>120292</v>
      </c>
      <c r="L17" s="4">
        <v>137815</v>
      </c>
      <c r="M17" s="4">
        <v>140990</v>
      </c>
      <c r="N17" s="4">
        <v>164852</v>
      </c>
      <c r="O17" s="4">
        <v>149669</v>
      </c>
      <c r="P17" s="4">
        <v>178508</v>
      </c>
      <c r="Q17" s="4">
        <v>198571</v>
      </c>
      <c r="R17" s="4">
        <v>203489</v>
      </c>
      <c r="S17" s="4">
        <v>203147</v>
      </c>
      <c r="T17" s="4">
        <v>190735</v>
      </c>
      <c r="U17" s="4">
        <v>184392</v>
      </c>
      <c r="V17" s="4">
        <v>195668</v>
      </c>
      <c r="W17" s="4"/>
      <c r="X17" s="4" t="s">
        <v>609</v>
      </c>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row>
    <row r="18" spans="1:98" s="2" customFormat="1" ht="15" thickBot="1" x14ac:dyDescent="0.35">
      <c r="A18" s="31"/>
      <c r="B18" s="31"/>
      <c r="C18" s="32"/>
      <c r="D18" s="4"/>
      <c r="E18" s="4"/>
      <c r="F18" s="4"/>
      <c r="G18" s="4"/>
      <c r="H18" s="4"/>
      <c r="I18" s="4"/>
      <c r="J18" s="4"/>
      <c r="K18" s="4"/>
      <c r="L18" s="4"/>
      <c r="M18" s="4"/>
      <c r="N18" s="4"/>
      <c r="O18" s="4"/>
      <c r="P18" s="4"/>
      <c r="Q18" s="4"/>
      <c r="R18" s="4"/>
      <c r="S18" s="457" t="s">
        <v>604</v>
      </c>
      <c r="T18" s="432">
        <v>189420</v>
      </c>
      <c r="U18" s="432">
        <v>181508</v>
      </c>
      <c r="V18" s="465">
        <v>195627</v>
      </c>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row>
    <row r="19" spans="1:98" s="2" customFormat="1" ht="15" thickBot="1" x14ac:dyDescent="0.35">
      <c r="A19" s="31"/>
      <c r="B19" s="31"/>
      <c r="C19" s="73"/>
      <c r="D19" s="4"/>
      <c r="E19" s="4"/>
      <c r="F19" s="4"/>
      <c r="G19" s="4"/>
      <c r="H19" s="4"/>
      <c r="I19" s="4"/>
      <c r="J19" s="4"/>
      <c r="K19" s="4"/>
      <c r="L19" s="4"/>
      <c r="M19" s="4"/>
      <c r="N19" s="4"/>
      <c r="O19" s="4"/>
      <c r="P19" s="4"/>
      <c r="Q19" s="4"/>
      <c r="R19" s="4"/>
      <c r="S19" s="466" t="s">
        <v>605</v>
      </c>
      <c r="T19" s="467">
        <v>144391</v>
      </c>
      <c r="U19" s="467">
        <v>149905</v>
      </c>
      <c r="V19" s="468">
        <v>156596</v>
      </c>
      <c r="W19" s="439"/>
      <c r="X19" s="438" t="s">
        <v>604</v>
      </c>
      <c r="Y19" s="456" t="s">
        <v>605</v>
      </c>
      <c r="Z19" s="4"/>
      <c r="AA19" s="453">
        <v>2014</v>
      </c>
      <c r="AB19" s="454">
        <v>2015</v>
      </c>
      <c r="AC19" s="454">
        <v>2016</v>
      </c>
      <c r="AD19" s="454"/>
      <c r="AE19" s="455" t="s">
        <v>610</v>
      </c>
      <c r="AF19" s="4"/>
      <c r="AG19" s="4"/>
      <c r="AH19" s="4"/>
      <c r="AI19" s="4"/>
      <c r="AJ19" s="4" t="s">
        <v>611</v>
      </c>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row>
    <row r="20" spans="1:98" s="2" customFormat="1" ht="15" thickBot="1" x14ac:dyDescent="0.35">
      <c r="A20" s="31"/>
      <c r="B20" s="31"/>
      <c r="C20" s="73"/>
      <c r="D20" s="4"/>
      <c r="E20" s="4"/>
      <c r="F20" s="4"/>
      <c r="G20" s="4"/>
      <c r="H20" s="4"/>
      <c r="I20" s="4"/>
      <c r="J20" s="4"/>
      <c r="K20" s="4"/>
      <c r="L20" s="4"/>
      <c r="M20" s="4"/>
      <c r="N20" s="4"/>
      <c r="O20" s="4"/>
      <c r="P20" s="4"/>
      <c r="Q20" s="457" t="s">
        <v>137</v>
      </c>
      <c r="R20" s="51" t="s">
        <v>604</v>
      </c>
      <c r="S20" s="51" t="s">
        <v>603</v>
      </c>
      <c r="T20" s="432">
        <f>T13-T12</f>
        <v>6274</v>
      </c>
      <c r="U20" s="432">
        <f t="shared" ref="U20:V20" si="0">U13-U12</f>
        <v>2976</v>
      </c>
      <c r="V20" s="432">
        <f t="shared" si="0"/>
        <v>2131</v>
      </c>
      <c r="W20" s="458" t="s">
        <v>137</v>
      </c>
      <c r="X20" s="458">
        <f>(T13+U13+V13)/3</f>
        <v>232943.66666666666</v>
      </c>
      <c r="Y20" s="459">
        <f>(T14+U14+V14)/3</f>
        <v>145510.33333333334</v>
      </c>
      <c r="Z20" s="4"/>
      <c r="AA20" s="434"/>
      <c r="AB20" s="4"/>
      <c r="AC20" s="4"/>
      <c r="AD20" s="4"/>
      <c r="AE20" s="435"/>
      <c r="AF20" s="4"/>
      <c r="AG20" s="4">
        <v>100</v>
      </c>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row>
    <row r="21" spans="1:98" s="89" customFormat="1" ht="16.2" thickBot="1" x14ac:dyDescent="0.35">
      <c r="A21" s="86" t="s">
        <v>172</v>
      </c>
      <c r="B21" s="86"/>
      <c r="C21" s="87"/>
      <c r="D21" s="88"/>
      <c r="E21" s="88"/>
      <c r="F21" s="88"/>
      <c r="G21" s="88"/>
      <c r="H21" s="88"/>
      <c r="I21" s="88"/>
      <c r="J21" s="88"/>
      <c r="K21" s="88"/>
      <c r="L21" s="88"/>
      <c r="M21" s="88"/>
      <c r="N21" s="88"/>
      <c r="O21" s="88"/>
      <c r="P21" s="88"/>
      <c r="Q21" s="460"/>
      <c r="R21" s="88" t="s">
        <v>605</v>
      </c>
      <c r="S21" s="88"/>
      <c r="T21" s="443">
        <f>T14-T11</f>
        <v>6723</v>
      </c>
      <c r="U21" s="443">
        <f>U14-U11</f>
        <v>4908</v>
      </c>
      <c r="V21" s="443">
        <f>V14-V11</f>
        <v>1296</v>
      </c>
      <c r="W21" s="434"/>
      <c r="X21" s="436">
        <f>(T20+U20+V20)/3</f>
        <v>3793.6666666666665</v>
      </c>
      <c r="Y21" s="461">
        <f>(T21+U21+V21)/3</f>
        <v>4309</v>
      </c>
      <c r="Z21" s="88" t="s">
        <v>605</v>
      </c>
      <c r="AA21" s="449">
        <f>T21/T11</f>
        <v>4.6215079190497138E-2</v>
      </c>
      <c r="AB21" s="450">
        <f>U21/U11</f>
        <v>3.6638622841658142E-2</v>
      </c>
      <c r="AC21" s="450">
        <f>V21/V11</f>
        <v>8.9890757759667067E-3</v>
      </c>
      <c r="AD21" s="451"/>
      <c r="AE21" s="469">
        <f>(AA21+AB21+AC21)/3</f>
        <v>3.0614259269373997E-2</v>
      </c>
      <c r="AF21" s="88"/>
      <c r="AG21" s="88"/>
      <c r="AH21" s="88"/>
      <c r="AI21" s="88"/>
      <c r="AJ21" s="484">
        <v>1.046</v>
      </c>
      <c r="AK21" s="485">
        <v>1.0369999999999999</v>
      </c>
      <c r="AL21" s="486">
        <v>1.0089999999999999</v>
      </c>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row>
    <row r="22" spans="1:98" s="89" customFormat="1" ht="16.2" thickBot="1" x14ac:dyDescent="0.35">
      <c r="A22" s="86"/>
      <c r="B22" s="86"/>
      <c r="C22" s="87"/>
      <c r="D22" s="88"/>
      <c r="E22" s="88"/>
      <c r="F22" s="88"/>
      <c r="G22" s="88"/>
      <c r="H22" s="88"/>
      <c r="I22" s="88"/>
      <c r="J22" s="88"/>
      <c r="K22" s="88"/>
      <c r="L22" s="88"/>
      <c r="M22" s="88"/>
      <c r="N22" s="88"/>
      <c r="O22" s="88"/>
      <c r="P22" s="88"/>
      <c r="Q22" s="460"/>
      <c r="R22" s="88"/>
      <c r="S22" s="88"/>
      <c r="T22" s="88"/>
      <c r="U22" s="88"/>
      <c r="V22" s="88"/>
      <c r="W22" s="440" t="s">
        <v>607</v>
      </c>
      <c r="X22" s="442">
        <f>X21/X20</f>
        <v>1.6285768662237365E-2</v>
      </c>
      <c r="Y22" s="445">
        <f>Y21/Y20</f>
        <v>2.9613017174038039E-2</v>
      </c>
      <c r="Z22" s="88" t="s">
        <v>604</v>
      </c>
      <c r="AA22" s="446">
        <f>T20/T12</f>
        <v>2.7917449073126453E-2</v>
      </c>
      <c r="AB22" s="447">
        <f>U20/U12</f>
        <v>1.3350559862187769E-2</v>
      </c>
      <c r="AC22" s="447">
        <f>V20/V12</f>
        <v>8.8864239128621705E-3</v>
      </c>
      <c r="AD22" s="448"/>
      <c r="AE22" s="452">
        <f>(AA22+AB22+AC22)/3</f>
        <v>1.6718144282725465E-2</v>
      </c>
      <c r="AF22" s="88"/>
      <c r="AG22" s="88"/>
      <c r="AH22" s="88"/>
      <c r="AI22" s="88"/>
      <c r="AJ22" s="476">
        <v>1.028</v>
      </c>
      <c r="AK22" s="477">
        <v>1.0129999999999999</v>
      </c>
      <c r="AL22" s="478">
        <v>1.0089999999999999</v>
      </c>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row>
    <row r="23" spans="1:98" s="89" customFormat="1" ht="16.2" thickBot="1" x14ac:dyDescent="0.35">
      <c r="A23" s="86"/>
      <c r="B23" s="86"/>
      <c r="C23" s="87"/>
      <c r="D23" s="88"/>
      <c r="E23" s="88"/>
      <c r="F23" s="88"/>
      <c r="G23" s="88"/>
      <c r="H23" s="88"/>
      <c r="I23" s="88"/>
      <c r="J23" s="88"/>
      <c r="K23" s="88"/>
      <c r="L23" s="88"/>
      <c r="M23" s="88"/>
      <c r="N23" s="88"/>
      <c r="O23" s="88"/>
      <c r="P23" s="88"/>
      <c r="Q23" s="462" t="s">
        <v>64</v>
      </c>
      <c r="R23" s="433" t="s">
        <v>604</v>
      </c>
      <c r="S23" s="433" t="s">
        <v>603</v>
      </c>
      <c r="T23" s="444">
        <f>T18-T17</f>
        <v>-1315</v>
      </c>
      <c r="U23" s="444">
        <f>U18-U17</f>
        <v>-2884</v>
      </c>
      <c r="V23" s="444">
        <f>V18-V17</f>
        <v>-41</v>
      </c>
      <c r="W23" s="434" t="s">
        <v>64</v>
      </c>
      <c r="X23" s="436">
        <f>(T17+U17+V17)/3</f>
        <v>190265</v>
      </c>
      <c r="Y23" s="461">
        <f>(T16+U16+V16)/3</f>
        <v>152759.66666666666</v>
      </c>
      <c r="Z23" s="433"/>
      <c r="AA23" s="436"/>
      <c r="AB23" s="88"/>
      <c r="AC23" s="88"/>
      <c r="AD23" s="88"/>
      <c r="AE23" s="437"/>
      <c r="AF23" s="88"/>
      <c r="AG23" s="462">
        <v>2014</v>
      </c>
      <c r="AH23" s="433">
        <v>2015</v>
      </c>
      <c r="AI23" s="433">
        <v>2016</v>
      </c>
      <c r="AJ23" s="479">
        <v>2014</v>
      </c>
      <c r="AK23" s="480">
        <v>2015</v>
      </c>
      <c r="AL23" s="481">
        <v>2016</v>
      </c>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row>
    <row r="24" spans="1:98" s="89" customFormat="1" ht="16.2" thickBot="1" x14ac:dyDescent="0.35">
      <c r="A24" s="86"/>
      <c r="B24" s="86"/>
      <c r="C24" s="87"/>
      <c r="D24" s="88"/>
      <c r="E24" s="88"/>
      <c r="F24" s="88"/>
      <c r="G24" s="88"/>
      <c r="H24" s="88"/>
      <c r="I24" s="88"/>
      <c r="J24" s="88"/>
      <c r="K24" s="88"/>
      <c r="L24" s="88"/>
      <c r="M24" s="88"/>
      <c r="N24" s="88"/>
      <c r="O24" s="88"/>
      <c r="P24" s="88"/>
      <c r="Q24" s="460"/>
      <c r="R24" s="88" t="s">
        <v>605</v>
      </c>
      <c r="S24" s="88"/>
      <c r="T24" s="443">
        <f>T19-T16</f>
        <v>-3031</v>
      </c>
      <c r="U24" s="443">
        <f>U19-U16</f>
        <v>-3722</v>
      </c>
      <c r="V24" s="443">
        <f>V19-V16</f>
        <v>-634</v>
      </c>
      <c r="W24" s="434"/>
      <c r="X24" s="436">
        <f>(T23+U23+V23)/3</f>
        <v>-1413.3333333333333</v>
      </c>
      <c r="Y24" s="461">
        <f>(T24+U24+V24)/3</f>
        <v>-2462.3333333333335</v>
      </c>
      <c r="Z24" s="88" t="s">
        <v>605</v>
      </c>
      <c r="AA24" s="449">
        <f>T24/T16</f>
        <v>-2.0560024962352975E-2</v>
      </c>
      <c r="AB24" s="450">
        <f>U24/U16</f>
        <v>-2.4227512090973593E-2</v>
      </c>
      <c r="AC24" s="450">
        <f>V24/V16</f>
        <v>-4.0323093557209184E-3</v>
      </c>
      <c r="AD24" s="451"/>
      <c r="AE24" s="469">
        <f>(AA24+AB24+AC24)/3</f>
        <v>-1.6273282136349161E-2</v>
      </c>
      <c r="AF24" s="88" t="s">
        <v>612</v>
      </c>
      <c r="AG24" s="471">
        <v>2.1000000000000001E-2</v>
      </c>
      <c r="AH24" s="470">
        <v>2.4E-2</v>
      </c>
      <c r="AI24" s="470">
        <v>4.0000000000000001E-3</v>
      </c>
      <c r="AJ24" s="482">
        <f>100-(AG20*AG24)</f>
        <v>97.9</v>
      </c>
      <c r="AK24" s="483">
        <f>100-(AH24*AG20)</f>
        <v>97.6</v>
      </c>
      <c r="AL24" s="475">
        <f>100-(AI24*AG20)</f>
        <v>99.6</v>
      </c>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row>
    <row r="25" spans="1:98" s="89" customFormat="1" ht="16.2" thickBot="1" x14ac:dyDescent="0.35">
      <c r="A25" s="86"/>
      <c r="B25" s="86"/>
      <c r="C25" s="87"/>
      <c r="D25" s="88"/>
      <c r="E25" s="88"/>
      <c r="F25" s="88"/>
      <c r="G25" s="88"/>
      <c r="H25" s="88"/>
      <c r="I25" s="88"/>
      <c r="J25" s="88"/>
      <c r="K25" s="88"/>
      <c r="L25" s="88"/>
      <c r="M25" s="88"/>
      <c r="N25" s="88"/>
      <c r="O25" s="88"/>
      <c r="P25" s="88"/>
      <c r="Q25" s="463"/>
      <c r="R25" s="464"/>
      <c r="S25" s="464"/>
      <c r="T25" s="464"/>
      <c r="U25" s="464"/>
      <c r="V25" s="464"/>
      <c r="W25" s="440" t="s">
        <v>608</v>
      </c>
      <c r="X25" s="442">
        <f>X24/X23</f>
        <v>-7.4282360567278971E-3</v>
      </c>
      <c r="Y25" s="441">
        <f>Y24/Y23</f>
        <v>-1.6119001743479411E-2</v>
      </c>
      <c r="Z25" s="88" t="s">
        <v>604</v>
      </c>
      <c r="AA25" s="446">
        <f>T23/T17</f>
        <v>-6.8943822581067973E-3</v>
      </c>
      <c r="AB25" s="447">
        <f>U23/U17</f>
        <v>-1.5640591782723763E-2</v>
      </c>
      <c r="AC25" s="447">
        <f>V23/V16</f>
        <v>-2.6076448514914457E-4</v>
      </c>
      <c r="AD25" s="448"/>
      <c r="AE25" s="452">
        <f>(AA25+AB25+AC25)/3</f>
        <v>-7.5985795086599009E-3</v>
      </c>
      <c r="AF25" s="88" t="s">
        <v>613</v>
      </c>
      <c r="AG25" s="472">
        <v>7.0000000000000001E-3</v>
      </c>
      <c r="AH25" s="473">
        <v>1.6E-2</v>
      </c>
      <c r="AI25" s="474">
        <v>2.9999999999999997E-4</v>
      </c>
      <c r="AJ25" s="476">
        <f>100-(AG25*AG20)</f>
        <v>99.3</v>
      </c>
      <c r="AK25" s="477">
        <f>100-(AH25*AG20)</f>
        <v>98.4</v>
      </c>
      <c r="AL25" s="478">
        <f>100-(AI25*AG20)</f>
        <v>99.97</v>
      </c>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row>
    <row r="26" spans="1:98" s="7" customFormat="1" ht="15" thickBot="1" x14ac:dyDescent="0.35">
      <c r="A26" s="31" t="s">
        <v>171</v>
      </c>
      <c r="B26" s="31"/>
      <c r="C26" s="31"/>
      <c r="D26" s="4"/>
      <c r="E26" s="4"/>
      <c r="F26" s="4"/>
      <c r="G26" s="4"/>
      <c r="H26" s="4"/>
      <c r="I26" s="4"/>
      <c r="J26" s="4"/>
      <c r="K26" s="4"/>
      <c r="L26" s="4"/>
      <c r="M26" s="4"/>
      <c r="N26" s="4"/>
      <c r="O26" s="4"/>
      <c r="P26" s="4"/>
      <c r="Q26" s="4"/>
      <c r="R26" s="4"/>
      <c r="S26" s="4"/>
      <c r="T26" s="4"/>
      <c r="U26" s="4"/>
      <c r="V26" s="4"/>
      <c r="W26" s="4"/>
      <c r="X26" s="431"/>
      <c r="Y26" s="430"/>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row>
    <row r="27" spans="1:98" s="49" customFormat="1" x14ac:dyDescent="0.3">
      <c r="A27" s="47" t="s">
        <v>119</v>
      </c>
      <c r="B27" s="74"/>
      <c r="C27" s="75" t="s">
        <v>105</v>
      </c>
      <c r="D27" s="48">
        <v>1478</v>
      </c>
      <c r="E27" s="48">
        <v>1416</v>
      </c>
      <c r="F27" s="48">
        <v>1458</v>
      </c>
      <c r="G27" s="48">
        <v>1283</v>
      </c>
      <c r="H27" s="48">
        <v>1346</v>
      </c>
      <c r="I27" s="48">
        <v>1702</v>
      </c>
      <c r="J27" s="48">
        <v>1547</v>
      </c>
      <c r="K27" s="48">
        <v>1588</v>
      </c>
      <c r="L27" s="48">
        <v>1665</v>
      </c>
      <c r="M27" s="48">
        <v>1790</v>
      </c>
      <c r="N27" s="48">
        <v>2104</v>
      </c>
      <c r="O27" s="48">
        <v>2100</v>
      </c>
      <c r="P27" s="48">
        <v>2499</v>
      </c>
      <c r="Q27" s="48">
        <v>2922</v>
      </c>
      <c r="R27" s="48">
        <v>2685</v>
      </c>
      <c r="S27" s="48">
        <v>2522</v>
      </c>
      <c r="T27" s="48">
        <v>2519</v>
      </c>
      <c r="U27" s="48">
        <v>2630</v>
      </c>
      <c r="V27" s="48">
        <v>3023</v>
      </c>
      <c r="W27" s="48"/>
      <c r="X27" s="48"/>
      <c r="Y27" s="48"/>
      <c r="Z27" s="48"/>
      <c r="AA27" s="48"/>
      <c r="AB27" s="48"/>
      <c r="AC27" s="48"/>
      <c r="AD27" s="48"/>
      <c r="AE27" s="48"/>
      <c r="AF27" s="48"/>
      <c r="AG27" s="48"/>
      <c r="AH27" s="48"/>
      <c r="AI27" s="48"/>
      <c r="AJ27" s="494">
        <v>2014</v>
      </c>
      <c r="AK27" s="495">
        <v>2015</v>
      </c>
      <c r="AL27" s="496">
        <v>2016</v>
      </c>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row>
    <row r="28" spans="1:98" s="2" customFormat="1" x14ac:dyDescent="0.3">
      <c r="A28" s="1" t="s">
        <v>120</v>
      </c>
      <c r="B28" s="23"/>
      <c r="C28" s="30" t="s">
        <v>106</v>
      </c>
      <c r="D28">
        <v>7396</v>
      </c>
      <c r="E28">
        <v>10115</v>
      </c>
      <c r="F28">
        <v>15913</v>
      </c>
      <c r="G28">
        <v>15989</v>
      </c>
      <c r="H28">
        <v>15331</v>
      </c>
      <c r="I28">
        <v>15181</v>
      </c>
      <c r="J28">
        <v>14790</v>
      </c>
      <c r="K28">
        <v>16885</v>
      </c>
      <c r="L28">
        <v>18794</v>
      </c>
      <c r="M28">
        <v>17906</v>
      </c>
      <c r="N28">
        <v>23253</v>
      </c>
      <c r="O28">
        <v>17255</v>
      </c>
      <c r="P28">
        <v>23143</v>
      </c>
      <c r="Q28">
        <v>26406</v>
      </c>
      <c r="R28">
        <v>26902</v>
      </c>
      <c r="S28">
        <v>26025</v>
      </c>
      <c r="T28">
        <v>20758</v>
      </c>
      <c r="U28">
        <v>13952</v>
      </c>
      <c r="V28">
        <v>14529</v>
      </c>
      <c r="W28"/>
      <c r="X28"/>
      <c r="Y28"/>
      <c r="Z28"/>
      <c r="AA28"/>
      <c r="AB28"/>
      <c r="AC28"/>
      <c r="AD28"/>
      <c r="AE28"/>
      <c r="AF28"/>
      <c r="AG28"/>
      <c r="AH28"/>
      <c r="AI28"/>
      <c r="AJ28" s="487">
        <v>1.046</v>
      </c>
      <c r="AK28" s="56">
        <v>1.0369999999999999</v>
      </c>
      <c r="AL28" s="488">
        <v>1.0089999999999999</v>
      </c>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row>
    <row r="29" spans="1:98" s="7" customFormat="1" x14ac:dyDescent="0.3">
      <c r="A29" s="4" t="s">
        <v>121</v>
      </c>
      <c r="B29" s="23"/>
      <c r="C29" s="24" t="s">
        <v>79</v>
      </c>
      <c r="D29" s="6">
        <v>149751</v>
      </c>
      <c r="E29" s="6">
        <v>149578</v>
      </c>
      <c r="F29" s="6">
        <v>164315</v>
      </c>
      <c r="G29" s="6">
        <v>165789</v>
      </c>
      <c r="H29" s="6">
        <v>162980</v>
      </c>
      <c r="I29" s="6">
        <v>164220</v>
      </c>
      <c r="J29" s="6">
        <v>167009</v>
      </c>
      <c r="K29" s="6">
        <v>184408</v>
      </c>
      <c r="L29" s="6">
        <v>213991</v>
      </c>
      <c r="M29" s="6">
        <v>192815</v>
      </c>
      <c r="N29" s="6">
        <v>217935</v>
      </c>
      <c r="O29" s="6">
        <v>200257</v>
      </c>
      <c r="P29" s="6">
        <v>232007</v>
      </c>
      <c r="Q29" s="6">
        <v>265428</v>
      </c>
      <c r="R29" s="6">
        <v>258093</v>
      </c>
      <c r="S29" s="6">
        <v>261688</v>
      </c>
      <c r="T29" s="6">
        <v>256309</v>
      </c>
      <c r="U29" s="6">
        <v>257307</v>
      </c>
      <c r="V29" s="6">
        <v>270525</v>
      </c>
      <c r="W29" s="6"/>
      <c r="X29" s="6"/>
      <c r="Y29" s="6"/>
      <c r="Z29" s="6"/>
      <c r="AA29" s="6"/>
      <c r="AB29" s="6"/>
      <c r="AC29" s="6"/>
      <c r="AD29" s="6"/>
      <c r="AE29" s="6"/>
      <c r="AF29" s="6"/>
      <c r="AG29" s="6"/>
      <c r="AH29" s="6"/>
      <c r="AI29" s="6"/>
      <c r="AJ29" s="489">
        <v>1.028</v>
      </c>
      <c r="AK29" s="45">
        <v>1.0129999999999999</v>
      </c>
      <c r="AL29" s="490">
        <v>1.0089999999999999</v>
      </c>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row>
    <row r="30" spans="1:98" s="2" customFormat="1" x14ac:dyDescent="0.3">
      <c r="A30" s="1" t="s">
        <v>122</v>
      </c>
      <c r="B30" s="23"/>
      <c r="C30" s="24" t="s">
        <v>107</v>
      </c>
      <c r="D30">
        <v>3</v>
      </c>
      <c r="E30">
        <v>8</v>
      </c>
      <c r="F30">
        <v>5</v>
      </c>
      <c r="G30">
        <v>3</v>
      </c>
      <c r="H30">
        <v>97</v>
      </c>
      <c r="I30">
        <v>163</v>
      </c>
      <c r="J30">
        <v>145</v>
      </c>
      <c r="K30">
        <v>97</v>
      </c>
      <c r="L30">
        <v>102</v>
      </c>
      <c r="M30">
        <v>105</v>
      </c>
      <c r="N30">
        <v>109</v>
      </c>
      <c r="O30">
        <v>157</v>
      </c>
      <c r="P30">
        <v>205</v>
      </c>
      <c r="Q30">
        <v>137</v>
      </c>
      <c r="R30">
        <v>102</v>
      </c>
      <c r="S30">
        <v>167</v>
      </c>
      <c r="T30">
        <v>131</v>
      </c>
      <c r="U30">
        <v>78</v>
      </c>
      <c r="V30">
        <v>103</v>
      </c>
      <c r="W30"/>
      <c r="X30"/>
      <c r="Y30"/>
      <c r="Z30"/>
      <c r="AA30"/>
      <c r="AB30"/>
      <c r="AC30"/>
      <c r="AD30"/>
      <c r="AE30"/>
      <c r="AF30"/>
      <c r="AG30"/>
      <c r="AH30"/>
      <c r="AI30"/>
      <c r="AJ30" s="489"/>
      <c r="AK30" s="45"/>
      <c r="AL30" s="49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row>
    <row r="31" spans="1:98" s="2" customFormat="1" x14ac:dyDescent="0.3">
      <c r="A31" s="1" t="s">
        <v>123</v>
      </c>
      <c r="B31" s="23"/>
      <c r="C31" s="30" t="s">
        <v>108</v>
      </c>
      <c r="D31">
        <v>909</v>
      </c>
      <c r="E31">
        <v>916</v>
      </c>
      <c r="F31">
        <v>1280</v>
      </c>
      <c r="G31">
        <v>1352</v>
      </c>
      <c r="H31">
        <v>1121</v>
      </c>
      <c r="I31">
        <v>1429</v>
      </c>
      <c r="J31">
        <v>1976</v>
      </c>
      <c r="K31">
        <v>2090</v>
      </c>
      <c r="L31">
        <v>2956</v>
      </c>
      <c r="M31">
        <v>3560</v>
      </c>
      <c r="N31">
        <v>4494</v>
      </c>
      <c r="O31">
        <v>3196</v>
      </c>
      <c r="P31">
        <v>5016</v>
      </c>
      <c r="Q31">
        <v>6144</v>
      </c>
      <c r="R31">
        <v>5454</v>
      </c>
      <c r="S31">
        <v>4743</v>
      </c>
      <c r="T31">
        <v>4838</v>
      </c>
      <c r="U31">
        <v>3885</v>
      </c>
      <c r="V31">
        <v>4201</v>
      </c>
      <c r="W31"/>
      <c r="X31"/>
      <c r="Y31"/>
      <c r="Z31"/>
      <c r="AA31"/>
      <c r="AB31"/>
      <c r="AC31"/>
      <c r="AD31"/>
      <c r="AE31"/>
      <c r="AF31"/>
      <c r="AG31"/>
      <c r="AH31"/>
      <c r="AI31"/>
      <c r="AJ31" s="489">
        <v>0.97899999999999998</v>
      </c>
      <c r="AK31" s="45">
        <v>0.97599999999999998</v>
      </c>
      <c r="AL31" s="490">
        <v>0.996</v>
      </c>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row>
    <row r="32" spans="1:98" s="2" customFormat="1" ht="15" thickBot="1" x14ac:dyDescent="0.35">
      <c r="A32" s="1" t="s">
        <v>124</v>
      </c>
      <c r="B32" s="23"/>
      <c r="C32" s="30" t="s">
        <v>109</v>
      </c>
      <c r="D32">
        <v>2975</v>
      </c>
      <c r="E32">
        <v>2883</v>
      </c>
      <c r="F32">
        <v>2970</v>
      </c>
      <c r="G32">
        <v>3123</v>
      </c>
      <c r="H32">
        <v>3438</v>
      </c>
      <c r="I32">
        <v>3496</v>
      </c>
      <c r="J32">
        <v>3624</v>
      </c>
      <c r="K32">
        <v>4004</v>
      </c>
      <c r="L32">
        <v>3654</v>
      </c>
      <c r="M32">
        <v>3551</v>
      </c>
      <c r="N32">
        <v>3805</v>
      </c>
      <c r="O32">
        <v>3925</v>
      </c>
      <c r="P32">
        <v>3899</v>
      </c>
      <c r="Q32">
        <v>3683</v>
      </c>
      <c r="R32">
        <v>3510</v>
      </c>
      <c r="S32">
        <v>3447</v>
      </c>
      <c r="T32">
        <v>3395</v>
      </c>
      <c r="U32">
        <v>3398</v>
      </c>
      <c r="V32">
        <v>3478</v>
      </c>
      <c r="W32"/>
      <c r="X32"/>
      <c r="Y32"/>
      <c r="Z32"/>
      <c r="AA32"/>
      <c r="AB32"/>
      <c r="AC32"/>
      <c r="AD32"/>
      <c r="AE32"/>
      <c r="AF32"/>
      <c r="AG32"/>
      <c r="AH32"/>
      <c r="AI32"/>
      <c r="AJ32" s="491">
        <v>0.99299999999999999</v>
      </c>
      <c r="AK32" s="492">
        <v>0.98399999999999999</v>
      </c>
      <c r="AL32" s="493">
        <v>0.997</v>
      </c>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row>
    <row r="33" spans="1:97" s="2" customFormat="1" x14ac:dyDescent="0.3">
      <c r="A33" s="1" t="s">
        <v>125</v>
      </c>
      <c r="B33" s="23"/>
      <c r="C33" s="30" t="s">
        <v>110</v>
      </c>
      <c r="D33">
        <v>1441</v>
      </c>
      <c r="E33">
        <v>1586</v>
      </c>
      <c r="F33">
        <v>2146</v>
      </c>
      <c r="G33">
        <v>2055</v>
      </c>
      <c r="H33">
        <v>2411</v>
      </c>
      <c r="I33">
        <v>2298</v>
      </c>
      <c r="J33">
        <v>2466</v>
      </c>
      <c r="K33">
        <v>2924</v>
      </c>
      <c r="L33">
        <v>2740</v>
      </c>
      <c r="M33">
        <v>3194</v>
      </c>
      <c r="N33">
        <v>2840</v>
      </c>
      <c r="O33">
        <v>2176</v>
      </c>
      <c r="P33">
        <v>3388</v>
      </c>
      <c r="Q33">
        <v>3409</v>
      </c>
      <c r="R33">
        <v>4837</v>
      </c>
      <c r="S33">
        <v>4507</v>
      </c>
      <c r="T33">
        <v>4825</v>
      </c>
      <c r="U33">
        <v>6221</v>
      </c>
      <c r="V33">
        <v>5468</v>
      </c>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row>
    <row r="34" spans="1:97" s="2" customFormat="1" x14ac:dyDescent="0.3">
      <c r="A34" s="1" t="s">
        <v>126</v>
      </c>
      <c r="B34" s="23"/>
      <c r="C34" s="30" t="s">
        <v>111</v>
      </c>
      <c r="D34">
        <v>0</v>
      </c>
      <c r="E34">
        <v>0</v>
      </c>
      <c r="F34">
        <v>0</v>
      </c>
      <c r="G34">
        <v>0</v>
      </c>
      <c r="H34">
        <v>0</v>
      </c>
      <c r="I34">
        <v>0</v>
      </c>
      <c r="J34">
        <v>0</v>
      </c>
      <c r="K34">
        <v>0</v>
      </c>
      <c r="L34">
        <v>0</v>
      </c>
      <c r="M34">
        <v>0</v>
      </c>
      <c r="N34">
        <v>0</v>
      </c>
      <c r="O34">
        <v>0</v>
      </c>
      <c r="P34">
        <v>0</v>
      </c>
      <c r="Q34">
        <v>0</v>
      </c>
      <c r="R34">
        <v>1</v>
      </c>
      <c r="S34">
        <v>0</v>
      </c>
      <c r="T34">
        <v>0</v>
      </c>
      <c r="U34">
        <v>0</v>
      </c>
      <c r="V34">
        <v>0</v>
      </c>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row>
    <row r="35" spans="1:97" s="2" customFormat="1" x14ac:dyDescent="0.3">
      <c r="A35" s="23"/>
      <c r="B35" s="30"/>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row>
    <row r="36" spans="1:97" s="67" customFormat="1" x14ac:dyDescent="0.3">
      <c r="A36" s="40"/>
      <c r="B36" s="40"/>
      <c r="C36" s="36"/>
      <c r="D36" s="37" t="s">
        <v>0</v>
      </c>
      <c r="E36" s="37" t="s">
        <v>1</v>
      </c>
      <c r="F36" s="37" t="s">
        <v>2</v>
      </c>
      <c r="G36" s="37" t="s">
        <v>3</v>
      </c>
      <c r="H36" s="37" t="s">
        <v>4</v>
      </c>
      <c r="I36" s="37" t="s">
        <v>5</v>
      </c>
      <c r="J36" s="37" t="s">
        <v>6</v>
      </c>
      <c r="K36" s="37" t="s">
        <v>7</v>
      </c>
      <c r="L36" s="37" t="s">
        <v>8</v>
      </c>
      <c r="M36" s="37" t="s">
        <v>9</v>
      </c>
      <c r="N36" s="37" t="s">
        <v>10</v>
      </c>
      <c r="O36" s="37" t="s">
        <v>11</v>
      </c>
      <c r="P36" s="37" t="s">
        <v>12</v>
      </c>
      <c r="Q36" s="37" t="s">
        <v>13</v>
      </c>
      <c r="R36" s="37" t="s">
        <v>14</v>
      </c>
      <c r="S36" s="37" t="s">
        <v>15</v>
      </c>
      <c r="T36" s="37" t="s">
        <v>16</v>
      </c>
      <c r="U36" s="37" t="s">
        <v>17</v>
      </c>
      <c r="V36" s="38" t="s">
        <v>18</v>
      </c>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row>
    <row r="37" spans="1:97" s="2" customFormat="1" x14ac:dyDescent="0.3">
      <c r="A37" s="14" t="s">
        <v>103</v>
      </c>
      <c r="B37" s="23" t="s">
        <v>84</v>
      </c>
      <c r="C37" s="24" t="s">
        <v>79</v>
      </c>
      <c r="D37">
        <v>149751</v>
      </c>
      <c r="E37">
        <v>149578</v>
      </c>
      <c r="F37">
        <v>164315</v>
      </c>
      <c r="G37">
        <v>165789</v>
      </c>
      <c r="H37">
        <v>162980</v>
      </c>
      <c r="I37">
        <v>164220</v>
      </c>
      <c r="J37">
        <v>167009</v>
      </c>
      <c r="K37">
        <v>184408</v>
      </c>
      <c r="L37">
        <v>213991</v>
      </c>
      <c r="M37">
        <v>192815</v>
      </c>
      <c r="N37">
        <v>217935</v>
      </c>
      <c r="O37">
        <v>200257</v>
      </c>
      <c r="P37">
        <v>232007</v>
      </c>
      <c r="Q37">
        <v>265428</v>
      </c>
      <c r="R37">
        <v>258093</v>
      </c>
      <c r="S37">
        <v>261688</v>
      </c>
      <c r="T37">
        <v>256309</v>
      </c>
      <c r="U37">
        <v>257307</v>
      </c>
      <c r="V37">
        <v>270525</v>
      </c>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row>
    <row r="38" spans="1:97" s="2" customFormat="1" x14ac:dyDescent="0.3">
      <c r="A38" s="23"/>
      <c r="B38" s="23" t="s">
        <v>86</v>
      </c>
      <c r="C38" s="27" t="s">
        <v>85</v>
      </c>
      <c r="D38" s="5">
        <v>169910</v>
      </c>
      <c r="E38" s="5">
        <v>178615</v>
      </c>
      <c r="F38" s="5">
        <v>199673</v>
      </c>
      <c r="G38" s="5">
        <v>208498</v>
      </c>
      <c r="H38" s="5">
        <v>214348</v>
      </c>
      <c r="I38" s="5">
        <v>217226</v>
      </c>
      <c r="J38" s="5">
        <v>226912</v>
      </c>
      <c r="K38" s="5">
        <v>248995</v>
      </c>
      <c r="L38" s="5">
        <v>284707</v>
      </c>
      <c r="M38" s="5">
        <v>274180</v>
      </c>
      <c r="N38" s="5">
        <v>296127</v>
      </c>
      <c r="O38" s="5">
        <v>274973</v>
      </c>
      <c r="P38" s="5">
        <v>316544</v>
      </c>
      <c r="Q38" s="5">
        <v>334569</v>
      </c>
      <c r="R38" s="5">
        <v>342574</v>
      </c>
      <c r="S38" s="5">
        <v>357832</v>
      </c>
      <c r="T38" s="5">
        <v>363033</v>
      </c>
      <c r="U38" s="5">
        <v>365602</v>
      </c>
      <c r="V38" s="5">
        <v>396108</v>
      </c>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row>
    <row r="39" spans="1:97" x14ac:dyDescent="0.3">
      <c r="B39" s="12"/>
    </row>
    <row r="40" spans="1:97" s="2" customFormat="1" x14ac:dyDescent="0.3">
      <c r="A40" s="23"/>
      <c r="B40" s="1" t="s">
        <v>60</v>
      </c>
      <c r="C40" s="25" t="s">
        <v>80</v>
      </c>
      <c r="D40">
        <v>90949</v>
      </c>
      <c r="E40">
        <v>92147</v>
      </c>
      <c r="F40">
        <v>100013</v>
      </c>
      <c r="G40">
        <v>101468</v>
      </c>
      <c r="H40">
        <v>102604</v>
      </c>
      <c r="I40">
        <v>98710</v>
      </c>
      <c r="J40">
        <v>99171</v>
      </c>
      <c r="K40">
        <v>107681</v>
      </c>
      <c r="L40">
        <v>133953</v>
      </c>
      <c r="M40">
        <v>111292</v>
      </c>
      <c r="N40">
        <v>120576</v>
      </c>
      <c r="O40">
        <v>108180</v>
      </c>
      <c r="P40">
        <v>121202</v>
      </c>
      <c r="Q40">
        <v>137782</v>
      </c>
      <c r="R40">
        <v>124115</v>
      </c>
      <c r="S40">
        <v>126255</v>
      </c>
      <c r="T40">
        <v>122387</v>
      </c>
      <c r="U40">
        <v>117944</v>
      </c>
      <c r="V40">
        <v>128937</v>
      </c>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row>
    <row r="41" spans="1:97" s="2" customFormat="1" x14ac:dyDescent="0.3">
      <c r="A41" s="23"/>
      <c r="B41" s="1" t="s">
        <v>58</v>
      </c>
      <c r="C41" s="26" t="s">
        <v>81</v>
      </c>
      <c r="D41">
        <v>100031</v>
      </c>
      <c r="E41">
        <v>104447</v>
      </c>
      <c r="F41">
        <v>112204</v>
      </c>
      <c r="G41">
        <v>121492</v>
      </c>
      <c r="H41">
        <v>132039</v>
      </c>
      <c r="I41">
        <v>134033</v>
      </c>
      <c r="J41">
        <v>139335</v>
      </c>
      <c r="K41">
        <v>154245</v>
      </c>
      <c r="L41">
        <v>176776</v>
      </c>
      <c r="M41">
        <v>163094</v>
      </c>
      <c r="N41">
        <v>173455</v>
      </c>
      <c r="O41">
        <v>157380</v>
      </c>
      <c r="P41">
        <v>178619</v>
      </c>
      <c r="Q41">
        <v>192203</v>
      </c>
      <c r="R41">
        <v>196397</v>
      </c>
      <c r="S41">
        <v>205764</v>
      </c>
      <c r="T41">
        <v>212563</v>
      </c>
      <c r="U41">
        <v>211927</v>
      </c>
      <c r="V41">
        <v>228406</v>
      </c>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row>
    <row r="42" spans="1:97" s="6" customFormat="1" x14ac:dyDescent="0.3">
      <c r="A42" s="16"/>
      <c r="B42" s="4" t="s">
        <v>34</v>
      </c>
      <c r="D42" s="6">
        <f>D40-D41</f>
        <v>-9082</v>
      </c>
      <c r="E42" s="6">
        <f t="shared" ref="E42:V42" si="1">E40-E41</f>
        <v>-12300</v>
      </c>
      <c r="F42" s="6">
        <f t="shared" si="1"/>
        <v>-12191</v>
      </c>
      <c r="G42" s="6">
        <f t="shared" si="1"/>
        <v>-20024</v>
      </c>
      <c r="H42" s="6">
        <f t="shared" si="1"/>
        <v>-29435</v>
      </c>
      <c r="I42" s="6">
        <f t="shared" si="1"/>
        <v>-35323</v>
      </c>
      <c r="J42" s="6">
        <f t="shared" si="1"/>
        <v>-40164</v>
      </c>
      <c r="K42" s="6">
        <f t="shared" si="1"/>
        <v>-46564</v>
      </c>
      <c r="L42" s="6">
        <f t="shared" si="1"/>
        <v>-42823</v>
      </c>
      <c r="M42" s="6">
        <f t="shared" si="1"/>
        <v>-51802</v>
      </c>
      <c r="N42" s="6">
        <f t="shared" si="1"/>
        <v>-52879</v>
      </c>
      <c r="O42" s="6">
        <f t="shared" si="1"/>
        <v>-49200</v>
      </c>
      <c r="P42" s="6">
        <f t="shared" si="1"/>
        <v>-57417</v>
      </c>
      <c r="Q42" s="6">
        <f t="shared" si="1"/>
        <v>-54421</v>
      </c>
      <c r="R42" s="6">
        <f t="shared" si="1"/>
        <v>-72282</v>
      </c>
      <c r="S42" s="6">
        <f t="shared" si="1"/>
        <v>-79509</v>
      </c>
      <c r="T42" s="6">
        <f t="shared" si="1"/>
        <v>-90176</v>
      </c>
      <c r="U42" s="6">
        <f t="shared" si="1"/>
        <v>-93983</v>
      </c>
      <c r="V42" s="6">
        <f t="shared" si="1"/>
        <v>-99469</v>
      </c>
    </row>
    <row r="43" spans="1:97" x14ac:dyDescent="0.3">
      <c r="B43" s="4"/>
    </row>
    <row r="44" spans="1:97" s="2" customFormat="1" x14ac:dyDescent="0.3">
      <c r="A44" s="23"/>
      <c r="B44" s="1" t="s">
        <v>52</v>
      </c>
      <c r="C44" s="26" t="s">
        <v>82</v>
      </c>
      <c r="D44">
        <v>58802</v>
      </c>
      <c r="E44">
        <v>57431</v>
      </c>
      <c r="F44">
        <v>64302</v>
      </c>
      <c r="G44">
        <v>64321</v>
      </c>
      <c r="H44">
        <v>60376</v>
      </c>
      <c r="I44">
        <v>65510</v>
      </c>
      <c r="J44">
        <v>67838</v>
      </c>
      <c r="K44">
        <v>76727</v>
      </c>
      <c r="L44">
        <v>80038</v>
      </c>
      <c r="M44">
        <v>81523</v>
      </c>
      <c r="N44">
        <v>97359</v>
      </c>
      <c r="O44">
        <v>92077</v>
      </c>
      <c r="P44">
        <v>110805</v>
      </c>
      <c r="Q44">
        <v>127646</v>
      </c>
      <c r="R44">
        <v>133978</v>
      </c>
      <c r="S44">
        <v>135433</v>
      </c>
      <c r="T44">
        <v>133922</v>
      </c>
      <c r="U44">
        <v>139363</v>
      </c>
      <c r="V44">
        <v>141588</v>
      </c>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row>
    <row r="45" spans="1:97" s="2" customFormat="1" x14ac:dyDescent="0.3">
      <c r="A45" s="23"/>
      <c r="B45" s="1" t="s">
        <v>59</v>
      </c>
      <c r="C45" s="1" t="s">
        <v>83</v>
      </c>
      <c r="D45" s="5">
        <v>69879</v>
      </c>
      <c r="E45" s="5">
        <v>74168</v>
      </c>
      <c r="F45" s="5">
        <v>87469</v>
      </c>
      <c r="G45" s="5">
        <v>87006</v>
      </c>
      <c r="H45" s="5">
        <v>82309</v>
      </c>
      <c r="I45" s="5">
        <v>83193</v>
      </c>
      <c r="J45" s="5">
        <v>87577</v>
      </c>
      <c r="K45" s="5">
        <v>94750</v>
      </c>
      <c r="L45" s="5">
        <v>107931</v>
      </c>
      <c r="M45" s="5">
        <v>111086</v>
      </c>
      <c r="N45" s="5">
        <v>122672</v>
      </c>
      <c r="O45" s="5">
        <v>117593</v>
      </c>
      <c r="P45" s="5">
        <v>137925</v>
      </c>
      <c r="Q45" s="5">
        <v>142366</v>
      </c>
      <c r="R45" s="5">
        <v>146177</v>
      </c>
      <c r="S45" s="5">
        <v>152068</v>
      </c>
      <c r="T45" s="5">
        <v>150470</v>
      </c>
      <c r="U45" s="5">
        <v>153675</v>
      </c>
      <c r="V45" s="5">
        <v>167702</v>
      </c>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row>
    <row r="46" spans="1:97" s="6" customFormat="1" x14ac:dyDescent="0.3">
      <c r="A46" s="16"/>
      <c r="B46" s="4" t="s">
        <v>34</v>
      </c>
      <c r="D46" s="6">
        <f>D44-D45</f>
        <v>-11077</v>
      </c>
      <c r="E46" s="6">
        <f t="shared" ref="E46:V46" si="2">E44-E45</f>
        <v>-16737</v>
      </c>
      <c r="F46" s="6">
        <f t="shared" si="2"/>
        <v>-23167</v>
      </c>
      <c r="G46" s="6">
        <f t="shared" si="2"/>
        <v>-22685</v>
      </c>
      <c r="H46" s="6">
        <f t="shared" si="2"/>
        <v>-21933</v>
      </c>
      <c r="I46" s="6">
        <f t="shared" si="2"/>
        <v>-17683</v>
      </c>
      <c r="J46" s="6">
        <f t="shared" si="2"/>
        <v>-19739</v>
      </c>
      <c r="K46" s="6">
        <f t="shared" si="2"/>
        <v>-18023</v>
      </c>
      <c r="L46" s="6">
        <f t="shared" si="2"/>
        <v>-27893</v>
      </c>
      <c r="M46" s="6">
        <f t="shared" si="2"/>
        <v>-29563</v>
      </c>
      <c r="N46" s="6">
        <f t="shared" si="2"/>
        <v>-25313</v>
      </c>
      <c r="O46" s="6">
        <f t="shared" si="2"/>
        <v>-25516</v>
      </c>
      <c r="P46" s="6">
        <f t="shared" si="2"/>
        <v>-27120</v>
      </c>
      <c r="Q46" s="6">
        <f t="shared" si="2"/>
        <v>-14720</v>
      </c>
      <c r="R46" s="6">
        <f t="shared" si="2"/>
        <v>-12199</v>
      </c>
      <c r="S46" s="6">
        <f t="shared" si="2"/>
        <v>-16635</v>
      </c>
      <c r="T46" s="6">
        <f t="shared" si="2"/>
        <v>-16548</v>
      </c>
      <c r="U46" s="6">
        <f t="shared" si="2"/>
        <v>-14312</v>
      </c>
      <c r="V46" s="6">
        <f t="shared" si="2"/>
        <v>-26114</v>
      </c>
    </row>
    <row r="47" spans="1:97" s="6" customFormat="1" x14ac:dyDescent="0.3">
      <c r="A47" s="16"/>
      <c r="B47" s="4"/>
    </row>
    <row r="48" spans="1:97" s="6" customFormat="1" x14ac:dyDescent="0.3">
      <c r="A48" s="16"/>
      <c r="B48" s="4"/>
    </row>
    <row r="49" spans="1:98" s="7" customFormat="1" x14ac:dyDescent="0.3">
      <c r="A49" s="31" t="s">
        <v>113</v>
      </c>
      <c r="B49" s="31"/>
      <c r="C49" s="13"/>
      <c r="D49" s="4"/>
      <c r="E49" s="4"/>
      <c r="F49" s="4"/>
      <c r="G49" s="4"/>
      <c r="H49" s="4"/>
      <c r="I49" s="4"/>
      <c r="J49" s="4"/>
      <c r="K49" s="4"/>
      <c r="L49" s="4"/>
      <c r="M49" s="4"/>
      <c r="N49" s="4"/>
      <c r="O49" s="4"/>
      <c r="P49" s="4"/>
      <c r="Q49" s="4"/>
      <c r="R49" s="4"/>
      <c r="S49" s="4"/>
      <c r="T49" s="4"/>
      <c r="U49" s="4"/>
      <c r="V49" s="31"/>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row>
    <row r="50" spans="1:98" s="7" customFormat="1" x14ac:dyDescent="0.3">
      <c r="A50" s="31"/>
      <c r="B50" s="31"/>
      <c r="C50" s="13"/>
      <c r="D50" s="53" t="s">
        <v>0</v>
      </c>
      <c r="E50" s="53" t="s">
        <v>1</v>
      </c>
      <c r="F50" s="53" t="s">
        <v>2</v>
      </c>
      <c r="G50" s="53" t="s">
        <v>3</v>
      </c>
      <c r="H50" s="53" t="s">
        <v>4</v>
      </c>
      <c r="I50" s="53" t="s">
        <v>5</v>
      </c>
      <c r="J50" s="53" t="s">
        <v>6</v>
      </c>
      <c r="K50" s="53" t="s">
        <v>7</v>
      </c>
      <c r="L50" s="53" t="s">
        <v>8</v>
      </c>
      <c r="M50" s="53" t="s">
        <v>9</v>
      </c>
      <c r="N50" s="53" t="s">
        <v>10</v>
      </c>
      <c r="O50" s="53" t="s">
        <v>11</v>
      </c>
      <c r="P50" s="53" t="s">
        <v>12</v>
      </c>
      <c r="Q50" s="53" t="s">
        <v>13</v>
      </c>
      <c r="R50" s="53" t="s">
        <v>14</v>
      </c>
      <c r="S50" s="53" t="s">
        <v>15</v>
      </c>
      <c r="T50" s="53" t="s">
        <v>16</v>
      </c>
      <c r="U50" s="53" t="s">
        <v>17</v>
      </c>
      <c r="V50" s="54" t="s">
        <v>18</v>
      </c>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row>
    <row r="51" spans="1:98" s="49" customFormat="1" x14ac:dyDescent="0.3">
      <c r="A51" s="46" t="s">
        <v>114</v>
      </c>
      <c r="B51" s="47" t="s">
        <v>50</v>
      </c>
      <c r="C51" s="47" t="s">
        <v>39</v>
      </c>
      <c r="D51" s="91">
        <v>11706</v>
      </c>
      <c r="E51" s="91">
        <v>12551</v>
      </c>
      <c r="F51" s="91">
        <v>12556</v>
      </c>
      <c r="G51" s="91">
        <v>10951</v>
      </c>
      <c r="H51" s="91">
        <v>11978</v>
      </c>
      <c r="I51" s="91">
        <v>12599</v>
      </c>
      <c r="J51" s="91">
        <v>13101</v>
      </c>
      <c r="K51" s="91">
        <v>13330</v>
      </c>
      <c r="L51" s="91">
        <v>13701</v>
      </c>
      <c r="M51" s="91">
        <v>15331</v>
      </c>
      <c r="N51" s="91">
        <v>15133</v>
      </c>
      <c r="O51" s="91">
        <v>12310</v>
      </c>
      <c r="P51" s="91">
        <v>13980</v>
      </c>
      <c r="Q51" s="91">
        <v>16118</v>
      </c>
      <c r="R51" s="91">
        <v>13606</v>
      </c>
      <c r="S51" s="91">
        <v>14330</v>
      </c>
      <c r="T51" s="91">
        <v>14966</v>
      </c>
      <c r="U51" s="91">
        <v>15580</v>
      </c>
      <c r="V51" s="91">
        <v>18257</v>
      </c>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row>
    <row r="52" spans="1:98" s="2" customFormat="1" x14ac:dyDescent="0.3">
      <c r="A52" s="15"/>
      <c r="B52" s="1" t="s">
        <v>51</v>
      </c>
      <c r="C52" s="1" t="s">
        <v>40</v>
      </c>
      <c r="D52" s="91">
        <v>19858</v>
      </c>
      <c r="E52" s="91">
        <v>21242</v>
      </c>
      <c r="F52" s="91">
        <v>20425</v>
      </c>
      <c r="G52" s="91">
        <v>23440</v>
      </c>
      <c r="H52" s="91">
        <v>25665</v>
      </c>
      <c r="I52" s="91">
        <v>26872</v>
      </c>
      <c r="J52" s="91">
        <v>27432</v>
      </c>
      <c r="K52" s="91">
        <v>28427</v>
      </c>
      <c r="L52" s="91">
        <v>29349</v>
      </c>
      <c r="M52" s="91">
        <v>33201</v>
      </c>
      <c r="N52" s="91">
        <v>30509</v>
      </c>
      <c r="O52" s="91">
        <v>23836</v>
      </c>
      <c r="P52" s="91">
        <v>30124</v>
      </c>
      <c r="Q52" s="91">
        <v>32818</v>
      </c>
      <c r="R52" s="91">
        <v>32328</v>
      </c>
      <c r="S52" s="91">
        <v>36689</v>
      </c>
      <c r="T52" s="91">
        <v>41091</v>
      </c>
      <c r="U52" s="91">
        <v>44343</v>
      </c>
      <c r="V52" s="91">
        <v>47744</v>
      </c>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row>
    <row r="53" spans="1:98" s="6" customFormat="1" x14ac:dyDescent="0.3">
      <c r="A53" s="16"/>
      <c r="B53" s="4" t="s">
        <v>46</v>
      </c>
      <c r="D53" s="6">
        <f>D51-D52</f>
        <v>-8152</v>
      </c>
      <c r="E53" s="6">
        <f t="shared" ref="E53:V53" si="3">E51-E52</f>
        <v>-8691</v>
      </c>
      <c r="F53" s="6">
        <f t="shared" si="3"/>
        <v>-7869</v>
      </c>
      <c r="G53" s="6">
        <f t="shared" si="3"/>
        <v>-12489</v>
      </c>
      <c r="H53" s="6">
        <f t="shared" si="3"/>
        <v>-13687</v>
      </c>
      <c r="I53" s="6">
        <f t="shared" si="3"/>
        <v>-14273</v>
      </c>
      <c r="J53" s="6">
        <f t="shared" si="3"/>
        <v>-14331</v>
      </c>
      <c r="K53" s="6">
        <f t="shared" si="3"/>
        <v>-15097</v>
      </c>
      <c r="L53" s="6">
        <f t="shared" si="3"/>
        <v>-15648</v>
      </c>
      <c r="M53" s="6">
        <f t="shared" si="3"/>
        <v>-17870</v>
      </c>
      <c r="N53" s="6">
        <f t="shared" si="3"/>
        <v>-15376</v>
      </c>
      <c r="O53" s="6">
        <f t="shared" si="3"/>
        <v>-11526</v>
      </c>
      <c r="P53" s="6">
        <f t="shared" si="3"/>
        <v>-16144</v>
      </c>
      <c r="Q53" s="6">
        <f t="shared" si="3"/>
        <v>-16700</v>
      </c>
      <c r="R53" s="6">
        <f t="shared" si="3"/>
        <v>-18722</v>
      </c>
      <c r="S53" s="6">
        <f t="shared" si="3"/>
        <v>-22359</v>
      </c>
      <c r="T53" s="6">
        <f t="shared" si="3"/>
        <v>-26125</v>
      </c>
      <c r="U53" s="6">
        <f t="shared" si="3"/>
        <v>-28763</v>
      </c>
      <c r="V53" s="6">
        <f t="shared" si="3"/>
        <v>-29487</v>
      </c>
    </row>
    <row r="55" spans="1:98" s="2" customFormat="1" x14ac:dyDescent="0.3">
      <c r="A55" s="15"/>
      <c r="B55" s="1" t="s">
        <v>52</v>
      </c>
      <c r="C55" s="1" t="s">
        <v>41</v>
      </c>
      <c r="D55" s="91">
        <v>4151</v>
      </c>
      <c r="E55" s="91">
        <v>3987</v>
      </c>
      <c r="F55" s="91">
        <v>4447</v>
      </c>
      <c r="G55" s="91">
        <v>4545</v>
      </c>
      <c r="H55" s="91">
        <v>6310</v>
      </c>
      <c r="I55" s="91">
        <v>6656</v>
      </c>
      <c r="J55" s="91">
        <v>6685</v>
      </c>
      <c r="K55" s="91">
        <v>7322</v>
      </c>
      <c r="L55" s="91">
        <v>7392</v>
      </c>
      <c r="M55" s="91">
        <v>7757</v>
      </c>
      <c r="N55" s="91">
        <v>9437</v>
      </c>
      <c r="O55" s="91">
        <v>6882</v>
      </c>
      <c r="P55" s="91">
        <v>11810</v>
      </c>
      <c r="Q55" s="91">
        <v>14183</v>
      </c>
      <c r="R55" s="91">
        <v>16952</v>
      </c>
      <c r="S55" s="91">
        <v>19484</v>
      </c>
      <c r="T55" s="91">
        <v>19533</v>
      </c>
      <c r="U55" s="91">
        <v>18727</v>
      </c>
      <c r="V55" s="91">
        <v>21816</v>
      </c>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row>
    <row r="56" spans="1:98" s="2" customFormat="1" x14ac:dyDescent="0.3">
      <c r="A56" s="15"/>
      <c r="B56" s="1" t="s">
        <v>53</v>
      </c>
      <c r="C56" s="1" t="s">
        <v>42</v>
      </c>
      <c r="D56" s="5">
        <v>3109</v>
      </c>
      <c r="E56" s="5">
        <v>3483</v>
      </c>
      <c r="F56" s="5">
        <v>3383</v>
      </c>
      <c r="G56" s="5">
        <v>3691</v>
      </c>
      <c r="H56" s="5">
        <v>3839</v>
      </c>
      <c r="I56" s="5">
        <v>4076</v>
      </c>
      <c r="J56" s="5">
        <v>4384</v>
      </c>
      <c r="K56" s="5">
        <v>4192</v>
      </c>
      <c r="L56" s="5">
        <v>4301</v>
      </c>
      <c r="M56" s="5">
        <v>4669</v>
      </c>
      <c r="N56" s="5">
        <v>4684</v>
      </c>
      <c r="O56" s="5">
        <v>3046</v>
      </c>
      <c r="P56" s="5">
        <v>4870</v>
      </c>
      <c r="Q56" s="5">
        <v>5757</v>
      </c>
      <c r="R56" s="5">
        <v>5944</v>
      </c>
      <c r="S56" s="5">
        <v>6196</v>
      </c>
      <c r="T56" s="5">
        <v>6949</v>
      </c>
      <c r="U56" s="5">
        <v>7762</v>
      </c>
      <c r="V56" s="5">
        <v>8821</v>
      </c>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row>
    <row r="57" spans="1:98" s="7" customFormat="1" x14ac:dyDescent="0.3">
      <c r="A57" s="14"/>
      <c r="B57" s="4" t="s">
        <v>47</v>
      </c>
      <c r="C57" s="4"/>
      <c r="D57" s="8">
        <f>D55-D56</f>
        <v>1042</v>
      </c>
      <c r="E57" s="8">
        <f t="shared" ref="E57:V57" si="4">E55-E56</f>
        <v>504</v>
      </c>
      <c r="F57" s="8">
        <f t="shared" si="4"/>
        <v>1064</v>
      </c>
      <c r="G57" s="8">
        <f t="shared" si="4"/>
        <v>854</v>
      </c>
      <c r="H57" s="8">
        <f t="shared" si="4"/>
        <v>2471</v>
      </c>
      <c r="I57" s="8">
        <f t="shared" si="4"/>
        <v>2580</v>
      </c>
      <c r="J57" s="8">
        <f t="shared" si="4"/>
        <v>2301</v>
      </c>
      <c r="K57" s="8">
        <f t="shared" si="4"/>
        <v>3130</v>
      </c>
      <c r="L57" s="8">
        <f t="shared" si="4"/>
        <v>3091</v>
      </c>
      <c r="M57" s="8">
        <f t="shared" si="4"/>
        <v>3088</v>
      </c>
      <c r="N57" s="8">
        <f t="shared" si="4"/>
        <v>4753</v>
      </c>
      <c r="O57" s="8">
        <f t="shared" si="4"/>
        <v>3836</v>
      </c>
      <c r="P57" s="8">
        <f t="shared" si="4"/>
        <v>6940</v>
      </c>
      <c r="Q57" s="8">
        <f t="shared" si="4"/>
        <v>8426</v>
      </c>
      <c r="R57" s="8">
        <f t="shared" si="4"/>
        <v>11008</v>
      </c>
      <c r="S57" s="8">
        <f t="shared" si="4"/>
        <v>13288</v>
      </c>
      <c r="T57" s="8">
        <f t="shared" si="4"/>
        <v>12584</v>
      </c>
      <c r="U57" s="8">
        <f t="shared" si="4"/>
        <v>10965</v>
      </c>
      <c r="V57" s="8">
        <f t="shared" si="4"/>
        <v>12995</v>
      </c>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row>
    <row r="59" spans="1:98" s="7" customFormat="1" x14ac:dyDescent="0.3">
      <c r="A59" s="31"/>
      <c r="B59" s="31"/>
      <c r="C59" s="13"/>
      <c r="D59" s="53" t="s">
        <v>0</v>
      </c>
      <c r="E59" s="53" t="s">
        <v>1</v>
      </c>
      <c r="F59" s="53" t="s">
        <v>2</v>
      </c>
      <c r="G59" s="53" t="s">
        <v>3</v>
      </c>
      <c r="H59" s="53" t="s">
        <v>4</v>
      </c>
      <c r="I59" s="53" t="s">
        <v>5</v>
      </c>
      <c r="J59" s="53" t="s">
        <v>6</v>
      </c>
      <c r="K59" s="53" t="s">
        <v>7</v>
      </c>
      <c r="L59" s="53" t="s">
        <v>8</v>
      </c>
      <c r="M59" s="53" t="s">
        <v>9</v>
      </c>
      <c r="N59" s="53" t="s">
        <v>10</v>
      </c>
      <c r="O59" s="53" t="s">
        <v>11</v>
      </c>
      <c r="P59" s="53" t="s">
        <v>12</v>
      </c>
      <c r="Q59" s="53" t="s">
        <v>13</v>
      </c>
      <c r="R59" s="53" t="s">
        <v>14</v>
      </c>
      <c r="S59" s="53" t="s">
        <v>15</v>
      </c>
      <c r="T59" s="53" t="s">
        <v>16</v>
      </c>
      <c r="U59" s="53" t="s">
        <v>17</v>
      </c>
      <c r="V59" s="54" t="s">
        <v>18</v>
      </c>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row>
    <row r="60" spans="1:98" s="49" customFormat="1" ht="28.8" x14ac:dyDescent="0.3">
      <c r="A60" s="50" t="s">
        <v>131</v>
      </c>
      <c r="B60" s="47" t="s">
        <v>60</v>
      </c>
      <c r="C60" s="47" t="s">
        <v>75</v>
      </c>
      <c r="D60" s="48">
        <v>4112</v>
      </c>
      <c r="E60" s="48">
        <v>4619</v>
      </c>
      <c r="F60" s="48">
        <v>5137</v>
      </c>
      <c r="G60" s="48">
        <v>6225</v>
      </c>
      <c r="H60" s="48">
        <v>5899</v>
      </c>
      <c r="I60" s="48">
        <v>6365</v>
      </c>
      <c r="J60" s="48">
        <v>5948</v>
      </c>
      <c r="K60" s="48">
        <v>6244</v>
      </c>
      <c r="L60" s="48">
        <v>6539</v>
      </c>
      <c r="M60" s="48">
        <v>4812</v>
      </c>
      <c r="N60" s="48">
        <v>4575</v>
      </c>
      <c r="O60" s="48">
        <v>4797</v>
      </c>
      <c r="P60" s="48">
        <v>5896</v>
      </c>
      <c r="Q60" s="48">
        <v>6459</v>
      </c>
      <c r="R60" s="48">
        <v>6290</v>
      </c>
      <c r="S60" s="48">
        <v>7264</v>
      </c>
      <c r="T60" s="48">
        <v>6724</v>
      </c>
      <c r="U60" s="48">
        <v>8634</v>
      </c>
      <c r="V60" s="48">
        <v>9807</v>
      </c>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row>
    <row r="61" spans="1:98" s="2" customFormat="1" x14ac:dyDescent="0.3">
      <c r="A61" s="4"/>
      <c r="B61" s="1" t="s">
        <v>58</v>
      </c>
      <c r="C61" s="1" t="s">
        <v>76</v>
      </c>
      <c r="D61">
        <v>2521</v>
      </c>
      <c r="E61">
        <v>2532</v>
      </c>
      <c r="F61">
        <v>3436</v>
      </c>
      <c r="G61">
        <v>3770</v>
      </c>
      <c r="H61">
        <v>3962</v>
      </c>
      <c r="I61">
        <v>2980</v>
      </c>
      <c r="J61">
        <v>3562</v>
      </c>
      <c r="K61">
        <v>3918</v>
      </c>
      <c r="L61">
        <v>3140</v>
      </c>
      <c r="M61">
        <v>3006</v>
      </c>
      <c r="N61">
        <v>3361</v>
      </c>
      <c r="O61">
        <v>3497</v>
      </c>
      <c r="P61">
        <v>4745</v>
      </c>
      <c r="Q61">
        <v>3491</v>
      </c>
      <c r="R61">
        <v>4441</v>
      </c>
      <c r="S61">
        <v>4103</v>
      </c>
      <c r="T61">
        <v>5422</v>
      </c>
      <c r="U61">
        <v>5460</v>
      </c>
      <c r="V61">
        <v>7180</v>
      </c>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row>
    <row r="62" spans="1:98" s="7" customFormat="1" x14ac:dyDescent="0.3">
      <c r="A62" s="4"/>
      <c r="B62" s="4" t="s">
        <v>34</v>
      </c>
      <c r="C62" s="4"/>
      <c r="D62" s="6">
        <f>D60-D61</f>
        <v>1591</v>
      </c>
      <c r="E62" s="6">
        <f t="shared" ref="E62:V62" si="5">E60-E61</f>
        <v>2087</v>
      </c>
      <c r="F62" s="6">
        <f t="shared" si="5"/>
        <v>1701</v>
      </c>
      <c r="G62" s="6">
        <f t="shared" si="5"/>
        <v>2455</v>
      </c>
      <c r="H62" s="6">
        <f t="shared" si="5"/>
        <v>1937</v>
      </c>
      <c r="I62" s="6">
        <f t="shared" si="5"/>
        <v>3385</v>
      </c>
      <c r="J62" s="6">
        <f t="shared" si="5"/>
        <v>2386</v>
      </c>
      <c r="K62" s="6">
        <f t="shared" si="5"/>
        <v>2326</v>
      </c>
      <c r="L62" s="6">
        <f t="shared" si="5"/>
        <v>3399</v>
      </c>
      <c r="M62" s="6">
        <f t="shared" si="5"/>
        <v>1806</v>
      </c>
      <c r="N62" s="6">
        <f t="shared" si="5"/>
        <v>1214</v>
      </c>
      <c r="O62" s="6">
        <f t="shared" si="5"/>
        <v>1300</v>
      </c>
      <c r="P62" s="6">
        <f t="shared" si="5"/>
        <v>1151</v>
      </c>
      <c r="Q62" s="6">
        <f t="shared" si="5"/>
        <v>2968</v>
      </c>
      <c r="R62" s="6">
        <f t="shared" si="5"/>
        <v>1849</v>
      </c>
      <c r="S62" s="6">
        <f t="shared" si="5"/>
        <v>3161</v>
      </c>
      <c r="T62" s="6">
        <f t="shared" si="5"/>
        <v>1302</v>
      </c>
      <c r="U62" s="6">
        <f t="shared" si="5"/>
        <v>3174</v>
      </c>
      <c r="V62" s="6">
        <f t="shared" si="5"/>
        <v>2627</v>
      </c>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row>
    <row r="63" spans="1:98" s="2" customFormat="1" x14ac:dyDescent="0.3">
      <c r="A63" s="4"/>
      <c r="B63" s="4"/>
      <c r="C63" s="1"/>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row>
    <row r="64" spans="1:98" s="2" customFormat="1" x14ac:dyDescent="0.3">
      <c r="A64" s="4"/>
      <c r="B64" s="1" t="s">
        <v>52</v>
      </c>
      <c r="C64" s="1" t="s">
        <v>77</v>
      </c>
      <c r="D64">
        <v>7597</v>
      </c>
      <c r="E64">
        <v>7077</v>
      </c>
      <c r="F64">
        <v>8062</v>
      </c>
      <c r="G64">
        <v>8259</v>
      </c>
      <c r="H64">
        <v>6863</v>
      </c>
      <c r="I64">
        <v>7469</v>
      </c>
      <c r="J64">
        <v>7444</v>
      </c>
      <c r="K64">
        <v>7554</v>
      </c>
      <c r="L64">
        <v>8570</v>
      </c>
      <c r="M64">
        <v>10338</v>
      </c>
      <c r="N64">
        <v>11799</v>
      </c>
      <c r="O64">
        <v>13036</v>
      </c>
      <c r="P64">
        <v>14658</v>
      </c>
      <c r="Q64">
        <v>16516</v>
      </c>
      <c r="R64">
        <v>17835</v>
      </c>
      <c r="S64">
        <v>19063</v>
      </c>
      <c r="T64">
        <v>18056</v>
      </c>
      <c r="U64">
        <v>18155</v>
      </c>
      <c r="V64">
        <v>22347</v>
      </c>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row>
    <row r="65" spans="1:99" s="2" customFormat="1" x14ac:dyDescent="0.3">
      <c r="A65" s="4"/>
      <c r="B65" s="1" t="s">
        <v>59</v>
      </c>
      <c r="C65" s="1" t="s">
        <v>78</v>
      </c>
      <c r="D65" s="5">
        <v>7835</v>
      </c>
      <c r="E65" s="5">
        <v>7831</v>
      </c>
      <c r="F65" s="5">
        <v>8224</v>
      </c>
      <c r="G65" s="5">
        <v>9905</v>
      </c>
      <c r="H65" s="5">
        <v>10507</v>
      </c>
      <c r="I65" s="5">
        <v>9839</v>
      </c>
      <c r="J65" s="5">
        <v>8361</v>
      </c>
      <c r="K65" s="5">
        <v>8550</v>
      </c>
      <c r="L65" s="5">
        <v>10371</v>
      </c>
      <c r="M65" s="5">
        <v>11272</v>
      </c>
      <c r="N65" s="5">
        <v>13508</v>
      </c>
      <c r="O65" s="5">
        <v>15725</v>
      </c>
      <c r="P65" s="5">
        <v>19158</v>
      </c>
      <c r="Q65" s="5">
        <v>12977</v>
      </c>
      <c r="R65" s="5">
        <v>14686</v>
      </c>
      <c r="S65" s="5">
        <v>17379</v>
      </c>
      <c r="T65" s="5">
        <v>17693</v>
      </c>
      <c r="U65" s="5">
        <v>17947</v>
      </c>
      <c r="V65" s="5">
        <v>24142</v>
      </c>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row>
    <row r="66" spans="1:99" s="7" customFormat="1" ht="15.6" customHeight="1" x14ac:dyDescent="0.3">
      <c r="A66" s="4"/>
      <c r="B66" s="4" t="s">
        <v>34</v>
      </c>
      <c r="C66" s="4"/>
      <c r="D66" s="8">
        <f>D64-D65</f>
        <v>-238</v>
      </c>
      <c r="E66" s="8">
        <f t="shared" ref="E66:V66" si="6">E64-E65</f>
        <v>-754</v>
      </c>
      <c r="F66" s="8">
        <f t="shared" si="6"/>
        <v>-162</v>
      </c>
      <c r="G66" s="8">
        <f t="shared" si="6"/>
        <v>-1646</v>
      </c>
      <c r="H66" s="8">
        <f t="shared" si="6"/>
        <v>-3644</v>
      </c>
      <c r="I66" s="8">
        <f t="shared" si="6"/>
        <v>-2370</v>
      </c>
      <c r="J66" s="8">
        <f t="shared" si="6"/>
        <v>-917</v>
      </c>
      <c r="K66" s="8">
        <f t="shared" si="6"/>
        <v>-996</v>
      </c>
      <c r="L66" s="8">
        <f t="shared" si="6"/>
        <v>-1801</v>
      </c>
      <c r="M66" s="8">
        <f t="shared" si="6"/>
        <v>-934</v>
      </c>
      <c r="N66" s="8">
        <f t="shared" si="6"/>
        <v>-1709</v>
      </c>
      <c r="O66" s="8">
        <f t="shared" si="6"/>
        <v>-2689</v>
      </c>
      <c r="P66" s="8">
        <f t="shared" si="6"/>
        <v>-4500</v>
      </c>
      <c r="Q66" s="8">
        <f t="shared" si="6"/>
        <v>3539</v>
      </c>
      <c r="R66" s="8">
        <f t="shared" si="6"/>
        <v>3149</v>
      </c>
      <c r="S66" s="8">
        <f t="shared" si="6"/>
        <v>1684</v>
      </c>
      <c r="T66" s="8">
        <f t="shared" si="6"/>
        <v>363</v>
      </c>
      <c r="U66" s="8">
        <f t="shared" si="6"/>
        <v>208</v>
      </c>
      <c r="V66" s="8">
        <f t="shared" si="6"/>
        <v>-1795</v>
      </c>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row>
    <row r="68" spans="1:99" s="7" customFormat="1" x14ac:dyDescent="0.3">
      <c r="A68" s="31"/>
      <c r="B68" s="31"/>
      <c r="C68" s="13"/>
      <c r="D68" s="53" t="s">
        <v>0</v>
      </c>
      <c r="E68" s="53" t="s">
        <v>1</v>
      </c>
      <c r="F68" s="53" t="s">
        <v>2</v>
      </c>
      <c r="G68" s="53" t="s">
        <v>3</v>
      </c>
      <c r="H68" s="53" t="s">
        <v>4</v>
      </c>
      <c r="I68" s="53" t="s">
        <v>5</v>
      </c>
      <c r="J68" s="53" t="s">
        <v>6</v>
      </c>
      <c r="K68" s="53" t="s">
        <v>7</v>
      </c>
      <c r="L68" s="53" t="s">
        <v>8</v>
      </c>
      <c r="M68" s="53" t="s">
        <v>9</v>
      </c>
      <c r="N68" s="53" t="s">
        <v>10</v>
      </c>
      <c r="O68" s="53" t="s">
        <v>11</v>
      </c>
      <c r="P68" s="53" t="s">
        <v>12</v>
      </c>
      <c r="Q68" s="53" t="s">
        <v>13</v>
      </c>
      <c r="R68" s="53" t="s">
        <v>14</v>
      </c>
      <c r="S68" s="53" t="s">
        <v>15</v>
      </c>
      <c r="T68" s="53" t="s">
        <v>16</v>
      </c>
      <c r="U68" s="53" t="s">
        <v>17</v>
      </c>
      <c r="V68" s="54" t="s">
        <v>18</v>
      </c>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row>
    <row r="69" spans="1:99" s="49" customFormat="1" x14ac:dyDescent="0.3">
      <c r="A69" s="46" t="s">
        <v>130</v>
      </c>
      <c r="B69" s="47" t="s">
        <v>49</v>
      </c>
      <c r="C69" s="47" t="s">
        <v>20</v>
      </c>
      <c r="D69" s="48">
        <v>8897</v>
      </c>
      <c r="E69" s="48">
        <v>8361</v>
      </c>
      <c r="F69" s="48">
        <v>8470</v>
      </c>
      <c r="G69" s="48">
        <v>8604</v>
      </c>
      <c r="H69" s="48">
        <v>8109</v>
      </c>
      <c r="I69" s="48">
        <v>8418</v>
      </c>
      <c r="J69" s="48">
        <v>8219</v>
      </c>
      <c r="K69" s="48">
        <v>8918</v>
      </c>
      <c r="L69" s="48">
        <v>9289</v>
      </c>
      <c r="M69" s="48">
        <v>10804</v>
      </c>
      <c r="N69" s="48">
        <v>11289</v>
      </c>
      <c r="O69" s="48">
        <v>8630</v>
      </c>
      <c r="P69" s="48">
        <v>9523</v>
      </c>
      <c r="Q69" s="48">
        <v>11259</v>
      </c>
      <c r="R69" s="48">
        <v>10299</v>
      </c>
      <c r="S69" s="48">
        <v>10288</v>
      </c>
      <c r="T69" s="48">
        <v>10501</v>
      </c>
      <c r="U69" s="48">
        <v>10071</v>
      </c>
      <c r="V69" s="48">
        <v>11451</v>
      </c>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row>
    <row r="70" spans="1:99" s="2" customFormat="1" x14ac:dyDescent="0.3">
      <c r="A70" s="15"/>
      <c r="B70" s="1" t="s">
        <v>54</v>
      </c>
      <c r="C70" s="1" t="s">
        <v>37</v>
      </c>
      <c r="D70">
        <v>8530</v>
      </c>
      <c r="E70">
        <v>8290</v>
      </c>
      <c r="F70">
        <v>8302</v>
      </c>
      <c r="G70">
        <v>8513</v>
      </c>
      <c r="H70">
        <v>9164</v>
      </c>
      <c r="I70">
        <v>10078</v>
      </c>
      <c r="J70">
        <v>10479</v>
      </c>
      <c r="K70">
        <v>11456</v>
      </c>
      <c r="L70">
        <v>11749</v>
      </c>
      <c r="M70">
        <v>14357</v>
      </c>
      <c r="N70">
        <v>15902</v>
      </c>
      <c r="O70">
        <v>12544</v>
      </c>
      <c r="P70">
        <v>14002</v>
      </c>
      <c r="Q70">
        <v>16040</v>
      </c>
      <c r="R70">
        <v>15931</v>
      </c>
      <c r="S70">
        <v>16609</v>
      </c>
      <c r="T70">
        <v>17412</v>
      </c>
      <c r="U70">
        <v>16338</v>
      </c>
      <c r="V70">
        <v>18540</v>
      </c>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row>
    <row r="71" spans="1:99" s="7" customFormat="1" x14ac:dyDescent="0.3">
      <c r="A71" s="14"/>
      <c r="B71" s="4" t="s">
        <v>57</v>
      </c>
      <c r="C71" s="4"/>
      <c r="D71" s="6">
        <f>D69-D70</f>
        <v>367</v>
      </c>
      <c r="E71" s="6">
        <f t="shared" ref="E71:V71" si="7">E69-E70</f>
        <v>71</v>
      </c>
      <c r="F71" s="6">
        <f t="shared" si="7"/>
        <v>168</v>
      </c>
      <c r="G71" s="6">
        <f t="shared" si="7"/>
        <v>91</v>
      </c>
      <c r="H71" s="6">
        <f t="shared" si="7"/>
        <v>-1055</v>
      </c>
      <c r="I71" s="6">
        <f t="shared" si="7"/>
        <v>-1660</v>
      </c>
      <c r="J71" s="6">
        <f t="shared" si="7"/>
        <v>-2260</v>
      </c>
      <c r="K71" s="6">
        <f t="shared" si="7"/>
        <v>-2538</v>
      </c>
      <c r="L71" s="6">
        <f t="shared" si="7"/>
        <v>-2460</v>
      </c>
      <c r="M71" s="6">
        <f t="shared" si="7"/>
        <v>-3553</v>
      </c>
      <c r="N71" s="6">
        <f t="shared" si="7"/>
        <v>-4613</v>
      </c>
      <c r="O71" s="6">
        <f t="shared" si="7"/>
        <v>-3914</v>
      </c>
      <c r="P71" s="6">
        <f t="shared" si="7"/>
        <v>-4479</v>
      </c>
      <c r="Q71" s="6">
        <f t="shared" si="7"/>
        <v>-4781</v>
      </c>
      <c r="R71" s="6">
        <f t="shared" si="7"/>
        <v>-5632</v>
      </c>
      <c r="S71" s="6">
        <f t="shared" si="7"/>
        <v>-6321</v>
      </c>
      <c r="T71" s="6">
        <f t="shared" si="7"/>
        <v>-6911</v>
      </c>
      <c r="U71" s="6">
        <f t="shared" si="7"/>
        <v>-6267</v>
      </c>
      <c r="V71" s="6">
        <f t="shared" si="7"/>
        <v>-7089</v>
      </c>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row>
    <row r="72" spans="1:99" s="2" customFormat="1" x14ac:dyDescent="0.3">
      <c r="A72" s="15"/>
      <c r="B72" s="4"/>
      <c r="C72" s="1"/>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row>
    <row r="73" spans="1:99" s="2" customFormat="1" x14ac:dyDescent="0.3">
      <c r="A73" s="15"/>
      <c r="B73" s="1" t="s">
        <v>52</v>
      </c>
      <c r="C73" s="1" t="s">
        <v>19</v>
      </c>
      <c r="D73">
        <v>8874</v>
      </c>
      <c r="E73">
        <v>8125</v>
      </c>
      <c r="F73">
        <v>8310</v>
      </c>
      <c r="G73">
        <v>8385</v>
      </c>
      <c r="H73">
        <v>7942</v>
      </c>
      <c r="I73">
        <v>8877</v>
      </c>
      <c r="J73">
        <v>9585</v>
      </c>
      <c r="K73">
        <v>9942</v>
      </c>
      <c r="L73">
        <v>11106</v>
      </c>
      <c r="M73">
        <v>11175</v>
      </c>
      <c r="N73">
        <v>13728</v>
      </c>
      <c r="O73">
        <v>11791</v>
      </c>
      <c r="P73">
        <v>13701</v>
      </c>
      <c r="Q73">
        <v>16152</v>
      </c>
      <c r="R73">
        <v>17621</v>
      </c>
      <c r="S73">
        <v>17738</v>
      </c>
      <c r="T73">
        <v>16892</v>
      </c>
      <c r="U73">
        <v>16391</v>
      </c>
      <c r="V73">
        <v>15434</v>
      </c>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row>
    <row r="74" spans="1:99" s="2" customFormat="1" x14ac:dyDescent="0.3">
      <c r="A74" s="15"/>
      <c r="B74" s="1" t="s">
        <v>55</v>
      </c>
      <c r="C74" s="1" t="s">
        <v>38</v>
      </c>
      <c r="D74" s="5">
        <v>6313</v>
      </c>
      <c r="E74" s="5">
        <v>6246</v>
      </c>
      <c r="F74" s="5">
        <v>7027</v>
      </c>
      <c r="G74" s="5">
        <v>7043</v>
      </c>
      <c r="H74" s="5">
        <v>6288</v>
      </c>
      <c r="I74" s="5">
        <v>5856</v>
      </c>
      <c r="J74" s="5">
        <v>6333</v>
      </c>
      <c r="K74" s="5">
        <v>7450</v>
      </c>
      <c r="L74" s="5">
        <v>7862</v>
      </c>
      <c r="M74" s="5">
        <v>8071</v>
      </c>
      <c r="N74" s="5">
        <v>9249</v>
      </c>
      <c r="O74" s="5">
        <v>7525</v>
      </c>
      <c r="P74" s="5">
        <v>9160</v>
      </c>
      <c r="Q74" s="5">
        <v>10528</v>
      </c>
      <c r="R74" s="5">
        <v>10644</v>
      </c>
      <c r="S74" s="5">
        <v>10249</v>
      </c>
      <c r="T74" s="5">
        <v>10556</v>
      </c>
      <c r="U74" s="5">
        <v>10880</v>
      </c>
      <c r="V74" s="5">
        <v>11606</v>
      </c>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row>
    <row r="75" spans="1:99" s="6" customFormat="1" x14ac:dyDescent="0.3">
      <c r="A75" s="16"/>
      <c r="B75" s="4" t="s">
        <v>47</v>
      </c>
      <c r="D75" s="6">
        <f>D73-D74</f>
        <v>2561</v>
      </c>
      <c r="E75" s="6">
        <f t="shared" ref="E75:V75" si="8">E73-E74</f>
        <v>1879</v>
      </c>
      <c r="F75" s="6">
        <f t="shared" si="8"/>
        <v>1283</v>
      </c>
      <c r="G75" s="6">
        <f t="shared" si="8"/>
        <v>1342</v>
      </c>
      <c r="H75" s="6">
        <f t="shared" si="8"/>
        <v>1654</v>
      </c>
      <c r="I75" s="6">
        <f t="shared" si="8"/>
        <v>3021</v>
      </c>
      <c r="J75" s="6">
        <f t="shared" si="8"/>
        <v>3252</v>
      </c>
      <c r="K75" s="6">
        <f t="shared" si="8"/>
        <v>2492</v>
      </c>
      <c r="L75" s="6">
        <f t="shared" si="8"/>
        <v>3244</v>
      </c>
      <c r="M75" s="6">
        <f t="shared" si="8"/>
        <v>3104</v>
      </c>
      <c r="N75" s="6">
        <f t="shared" si="8"/>
        <v>4479</v>
      </c>
      <c r="O75" s="6">
        <f t="shared" si="8"/>
        <v>4266</v>
      </c>
      <c r="P75" s="6">
        <f t="shared" si="8"/>
        <v>4541</v>
      </c>
      <c r="Q75" s="6">
        <f t="shared" si="8"/>
        <v>5624</v>
      </c>
      <c r="R75" s="6">
        <f t="shared" si="8"/>
        <v>6977</v>
      </c>
      <c r="S75" s="6">
        <f t="shared" si="8"/>
        <v>7489</v>
      </c>
      <c r="T75" s="6">
        <f t="shared" si="8"/>
        <v>6336</v>
      </c>
      <c r="U75" s="6">
        <f t="shared" si="8"/>
        <v>5511</v>
      </c>
      <c r="V75" s="6">
        <f t="shared" si="8"/>
        <v>3828</v>
      </c>
    </row>
    <row r="76" spans="1:99" s="7" customFormat="1" ht="15.6" customHeight="1" x14ac:dyDescent="0.3">
      <c r="A76" s="4"/>
      <c r="B76" s="4"/>
      <c r="C76" s="4"/>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row>
    <row r="77" spans="1:99" s="7" customFormat="1" x14ac:dyDescent="0.3">
      <c r="A77" s="31"/>
      <c r="B77" s="31"/>
      <c r="C77" s="13"/>
      <c r="D77" s="53" t="s">
        <v>0</v>
      </c>
      <c r="E77" s="53" t="s">
        <v>1</v>
      </c>
      <c r="F77" s="53" t="s">
        <v>2</v>
      </c>
      <c r="G77" s="53" t="s">
        <v>3</v>
      </c>
      <c r="H77" s="53" t="s">
        <v>4</v>
      </c>
      <c r="I77" s="53" t="s">
        <v>5</v>
      </c>
      <c r="J77" s="53" t="s">
        <v>6</v>
      </c>
      <c r="K77" s="53" t="s">
        <v>7</v>
      </c>
      <c r="L77" s="53" t="s">
        <v>8</v>
      </c>
      <c r="M77" s="53" t="s">
        <v>9</v>
      </c>
      <c r="N77" s="53" t="s">
        <v>10</v>
      </c>
      <c r="O77" s="53" t="s">
        <v>11</v>
      </c>
      <c r="P77" s="53" t="s">
        <v>12</v>
      </c>
      <c r="Q77" s="53" t="s">
        <v>13</v>
      </c>
      <c r="R77" s="53" t="s">
        <v>14</v>
      </c>
      <c r="S77" s="53" t="s">
        <v>15</v>
      </c>
      <c r="T77" s="53" t="s">
        <v>16</v>
      </c>
      <c r="U77" s="53" t="s">
        <v>17</v>
      </c>
      <c r="V77" s="54" t="s">
        <v>18</v>
      </c>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row>
    <row r="78" spans="1:99" s="49" customFormat="1" ht="15" customHeight="1" x14ac:dyDescent="0.3">
      <c r="A78" s="46" t="s">
        <v>115</v>
      </c>
      <c r="B78" s="47" t="s">
        <v>56</v>
      </c>
      <c r="C78" s="47" t="s">
        <v>21</v>
      </c>
      <c r="D78" s="48">
        <v>3553</v>
      </c>
      <c r="E78" s="48">
        <v>3661</v>
      </c>
      <c r="F78" s="48">
        <v>4080</v>
      </c>
      <c r="G78" s="48">
        <v>5157</v>
      </c>
      <c r="H78" s="48">
        <v>5606</v>
      </c>
      <c r="I78" s="48">
        <v>6355</v>
      </c>
      <c r="J78" s="48">
        <v>7061</v>
      </c>
      <c r="K78" s="48">
        <v>7444</v>
      </c>
      <c r="L78" s="48">
        <v>7549</v>
      </c>
      <c r="M78" s="48">
        <v>7815</v>
      </c>
      <c r="N78" s="48">
        <v>9911</v>
      </c>
      <c r="O78" s="48">
        <v>11305</v>
      </c>
      <c r="P78" s="48">
        <v>11765</v>
      </c>
      <c r="Q78" s="48">
        <v>12179</v>
      </c>
      <c r="R78" s="48">
        <v>12492</v>
      </c>
      <c r="S78" s="48">
        <v>10290</v>
      </c>
      <c r="T78" s="48">
        <v>11086</v>
      </c>
      <c r="U78" s="48">
        <v>10501</v>
      </c>
      <c r="V78" s="48">
        <v>12077</v>
      </c>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row>
    <row r="79" spans="1:99" s="2" customFormat="1" x14ac:dyDescent="0.3">
      <c r="A79" s="15"/>
      <c r="B79" s="1" t="s">
        <v>58</v>
      </c>
      <c r="C79" s="1" t="s">
        <v>23</v>
      </c>
      <c r="D79">
        <v>4037</v>
      </c>
      <c r="E79">
        <v>4728</v>
      </c>
      <c r="F79">
        <v>5228</v>
      </c>
      <c r="G79">
        <v>6071</v>
      </c>
      <c r="H79">
        <v>7245</v>
      </c>
      <c r="I79">
        <v>8374</v>
      </c>
      <c r="J79">
        <v>8433</v>
      </c>
      <c r="K79">
        <v>8197</v>
      </c>
      <c r="L79">
        <v>8134</v>
      </c>
      <c r="M79">
        <v>9887</v>
      </c>
      <c r="N79">
        <v>9851</v>
      </c>
      <c r="O79">
        <v>11429</v>
      </c>
      <c r="P79">
        <v>12666</v>
      </c>
      <c r="Q79">
        <v>12744</v>
      </c>
      <c r="R79">
        <v>15849</v>
      </c>
      <c r="S79">
        <v>17441</v>
      </c>
      <c r="T79">
        <v>19660</v>
      </c>
      <c r="U79">
        <v>20098</v>
      </c>
      <c r="V79">
        <v>21719</v>
      </c>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row>
    <row r="80" spans="1:99" s="6" customFormat="1" x14ac:dyDescent="0.3">
      <c r="A80" s="16"/>
      <c r="B80" s="4" t="s">
        <v>25</v>
      </c>
      <c r="D80" s="6">
        <f t="shared" ref="D80:V80" si="9">D78-D79</f>
        <v>-484</v>
      </c>
      <c r="E80" s="6">
        <f t="shared" si="9"/>
        <v>-1067</v>
      </c>
      <c r="F80" s="6">
        <f t="shared" si="9"/>
        <v>-1148</v>
      </c>
      <c r="G80" s="6">
        <f t="shared" si="9"/>
        <v>-914</v>
      </c>
      <c r="H80" s="6">
        <f t="shared" si="9"/>
        <v>-1639</v>
      </c>
      <c r="I80" s="6">
        <f t="shared" si="9"/>
        <v>-2019</v>
      </c>
      <c r="J80" s="6">
        <f t="shared" si="9"/>
        <v>-1372</v>
      </c>
      <c r="K80" s="6">
        <f t="shared" si="9"/>
        <v>-753</v>
      </c>
      <c r="L80" s="6">
        <f t="shared" si="9"/>
        <v>-585</v>
      </c>
      <c r="M80" s="6">
        <f t="shared" si="9"/>
        <v>-2072</v>
      </c>
      <c r="N80" s="6">
        <f t="shared" si="9"/>
        <v>60</v>
      </c>
      <c r="O80" s="6">
        <f t="shared" si="9"/>
        <v>-124</v>
      </c>
      <c r="P80" s="6">
        <f t="shared" si="9"/>
        <v>-901</v>
      </c>
      <c r="Q80" s="6">
        <f t="shared" si="9"/>
        <v>-565</v>
      </c>
      <c r="R80" s="6">
        <f t="shared" si="9"/>
        <v>-3357</v>
      </c>
      <c r="S80" s="6">
        <f t="shared" si="9"/>
        <v>-7151</v>
      </c>
      <c r="T80" s="6">
        <f t="shared" si="9"/>
        <v>-8574</v>
      </c>
      <c r="U80" s="6">
        <f t="shared" si="9"/>
        <v>-9597</v>
      </c>
      <c r="V80" s="6">
        <f t="shared" si="9"/>
        <v>-9642</v>
      </c>
    </row>
    <row r="81" spans="1:97" s="6" customFormat="1" x14ac:dyDescent="0.3">
      <c r="A81" s="16"/>
      <c r="B81" s="4"/>
    </row>
    <row r="82" spans="1:97" s="2" customFormat="1" x14ac:dyDescent="0.3">
      <c r="A82" s="15"/>
      <c r="B82" s="1" t="s">
        <v>52</v>
      </c>
      <c r="C82" s="1" t="s">
        <v>22</v>
      </c>
      <c r="D82">
        <v>2663</v>
      </c>
      <c r="E82">
        <v>3024</v>
      </c>
      <c r="F82">
        <v>3560</v>
      </c>
      <c r="G82">
        <v>4257</v>
      </c>
      <c r="H82">
        <v>4903</v>
      </c>
      <c r="I82">
        <v>5874</v>
      </c>
      <c r="J82">
        <v>5600</v>
      </c>
      <c r="K82">
        <v>5337</v>
      </c>
      <c r="L82">
        <v>6787</v>
      </c>
      <c r="M82">
        <v>7198</v>
      </c>
      <c r="N82">
        <v>8027</v>
      </c>
      <c r="O82">
        <v>9895</v>
      </c>
      <c r="P82">
        <v>11607</v>
      </c>
      <c r="Q82">
        <v>11561</v>
      </c>
      <c r="R82">
        <v>11529</v>
      </c>
      <c r="S82">
        <v>10651</v>
      </c>
      <c r="T82">
        <v>10289</v>
      </c>
      <c r="U82">
        <v>14562</v>
      </c>
      <c r="V82">
        <v>13751</v>
      </c>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row>
    <row r="83" spans="1:97" s="2" customFormat="1" x14ac:dyDescent="0.3">
      <c r="A83" s="15"/>
      <c r="B83" s="1" t="s">
        <v>59</v>
      </c>
      <c r="C83" s="1" t="s">
        <v>24</v>
      </c>
      <c r="D83" s="5">
        <v>1181</v>
      </c>
      <c r="E83" s="5">
        <v>1418</v>
      </c>
      <c r="F83" s="5">
        <v>1666</v>
      </c>
      <c r="G83" s="5">
        <v>2546</v>
      </c>
      <c r="H83" s="5">
        <v>2517</v>
      </c>
      <c r="I83" s="5">
        <v>2635</v>
      </c>
      <c r="J83" s="5">
        <v>3097</v>
      </c>
      <c r="K83" s="5">
        <v>3178</v>
      </c>
      <c r="L83" s="5">
        <v>3669</v>
      </c>
      <c r="M83" s="5">
        <v>3498</v>
      </c>
      <c r="N83" s="5">
        <v>4361</v>
      </c>
      <c r="O83" s="5">
        <v>5158</v>
      </c>
      <c r="P83" s="5">
        <v>6011</v>
      </c>
      <c r="Q83" s="5">
        <v>6787</v>
      </c>
      <c r="R83" s="5">
        <v>6814</v>
      </c>
      <c r="S83" s="5">
        <v>5196</v>
      </c>
      <c r="T83" s="5">
        <v>5012</v>
      </c>
      <c r="U83" s="5">
        <v>6299</v>
      </c>
      <c r="V83" s="5">
        <v>6940</v>
      </c>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row>
    <row r="84" spans="1:97" s="6" customFormat="1" x14ac:dyDescent="0.3">
      <c r="A84" s="16"/>
      <c r="B84" s="4" t="s">
        <v>26</v>
      </c>
      <c r="D84" s="6">
        <f>D82-D83</f>
        <v>1482</v>
      </c>
      <c r="E84" s="6">
        <f t="shared" ref="E84:V84" si="10">E82-E83</f>
        <v>1606</v>
      </c>
      <c r="F84" s="6">
        <f t="shared" si="10"/>
        <v>1894</v>
      </c>
      <c r="G84" s="6">
        <f t="shared" si="10"/>
        <v>1711</v>
      </c>
      <c r="H84" s="6">
        <f t="shared" si="10"/>
        <v>2386</v>
      </c>
      <c r="I84" s="6">
        <f t="shared" si="10"/>
        <v>3239</v>
      </c>
      <c r="J84" s="6">
        <f t="shared" si="10"/>
        <v>2503</v>
      </c>
      <c r="K84" s="6">
        <f t="shared" si="10"/>
        <v>2159</v>
      </c>
      <c r="L84" s="6">
        <f t="shared" si="10"/>
        <v>3118</v>
      </c>
      <c r="M84" s="6">
        <f t="shared" si="10"/>
        <v>3700</v>
      </c>
      <c r="N84" s="6">
        <f t="shared" si="10"/>
        <v>3666</v>
      </c>
      <c r="O84" s="6">
        <f t="shared" si="10"/>
        <v>4737</v>
      </c>
      <c r="P84" s="6">
        <f t="shared" si="10"/>
        <v>5596</v>
      </c>
      <c r="Q84" s="6">
        <f t="shared" si="10"/>
        <v>4774</v>
      </c>
      <c r="R84" s="6">
        <f t="shared" si="10"/>
        <v>4715</v>
      </c>
      <c r="S84" s="6">
        <f t="shared" si="10"/>
        <v>5455</v>
      </c>
      <c r="T84" s="6">
        <f t="shared" si="10"/>
        <v>5277</v>
      </c>
      <c r="U84" s="6">
        <f t="shared" si="10"/>
        <v>8263</v>
      </c>
      <c r="V84" s="6">
        <f t="shared" si="10"/>
        <v>6811</v>
      </c>
    </row>
    <row r="86" spans="1:97" s="7" customFormat="1" x14ac:dyDescent="0.3">
      <c r="A86" s="31"/>
      <c r="B86" s="31"/>
      <c r="C86" s="13"/>
      <c r="D86" s="53" t="s">
        <v>0</v>
      </c>
      <c r="E86" s="53" t="s">
        <v>1</v>
      </c>
      <c r="F86" s="53" t="s">
        <v>2</v>
      </c>
      <c r="G86" s="53" t="s">
        <v>3</v>
      </c>
      <c r="H86" s="53" t="s">
        <v>4</v>
      </c>
      <c r="I86" s="53" t="s">
        <v>5</v>
      </c>
      <c r="J86" s="53" t="s">
        <v>6</v>
      </c>
      <c r="K86" s="53" t="s">
        <v>7</v>
      </c>
      <c r="L86" s="53" t="s">
        <v>8</v>
      </c>
      <c r="M86" s="53" t="s">
        <v>9</v>
      </c>
      <c r="N86" s="53" t="s">
        <v>10</v>
      </c>
      <c r="O86" s="53" t="s">
        <v>11</v>
      </c>
      <c r="P86" s="53" t="s">
        <v>12</v>
      </c>
      <c r="Q86" s="53" t="s">
        <v>13</v>
      </c>
      <c r="R86" s="53" t="s">
        <v>14</v>
      </c>
      <c r="S86" s="53" t="s">
        <v>15</v>
      </c>
      <c r="T86" s="53" t="s">
        <v>16</v>
      </c>
      <c r="U86" s="53" t="s">
        <v>17</v>
      </c>
      <c r="V86" s="54" t="s">
        <v>18</v>
      </c>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row>
    <row r="87" spans="1:97" s="49" customFormat="1" x14ac:dyDescent="0.3">
      <c r="A87" s="51" t="s">
        <v>116</v>
      </c>
      <c r="B87" s="47" t="s">
        <v>60</v>
      </c>
      <c r="C87" s="52" t="s">
        <v>98</v>
      </c>
      <c r="D87" s="48">
        <v>10307</v>
      </c>
      <c r="E87" s="48">
        <v>10248</v>
      </c>
      <c r="F87" s="48">
        <v>11421</v>
      </c>
      <c r="G87" s="48">
        <v>11797</v>
      </c>
      <c r="H87" s="48">
        <v>11780</v>
      </c>
      <c r="I87" s="48">
        <v>12506</v>
      </c>
      <c r="J87" s="48">
        <v>12602</v>
      </c>
      <c r="K87" s="48">
        <v>13327</v>
      </c>
      <c r="L87" s="48">
        <v>14504</v>
      </c>
      <c r="M87" s="48">
        <v>15051</v>
      </c>
      <c r="N87" s="48">
        <v>16432</v>
      </c>
      <c r="O87" s="48">
        <v>14979</v>
      </c>
      <c r="P87" s="48">
        <v>16173</v>
      </c>
      <c r="Q87" s="48">
        <v>17943</v>
      </c>
      <c r="R87" s="48">
        <v>16729</v>
      </c>
      <c r="S87" s="48">
        <v>16811</v>
      </c>
      <c r="T87" s="48">
        <v>14892</v>
      </c>
      <c r="U87" s="48">
        <v>14343</v>
      </c>
      <c r="V87" s="48">
        <v>14714</v>
      </c>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row>
    <row r="88" spans="1:97" s="2" customFormat="1" x14ac:dyDescent="0.3">
      <c r="A88" s="4"/>
      <c r="B88" s="1" t="s">
        <v>58</v>
      </c>
      <c r="C88" s="26" t="s">
        <v>99</v>
      </c>
      <c r="D88">
        <v>9500</v>
      </c>
      <c r="E88">
        <v>9481</v>
      </c>
      <c r="F88">
        <v>10242</v>
      </c>
      <c r="G88">
        <v>10315</v>
      </c>
      <c r="H88">
        <v>10741</v>
      </c>
      <c r="I88">
        <v>11627</v>
      </c>
      <c r="J88">
        <v>12284</v>
      </c>
      <c r="K88">
        <v>12856</v>
      </c>
      <c r="L88">
        <v>13751</v>
      </c>
      <c r="M88">
        <v>14608</v>
      </c>
      <c r="N88">
        <v>17878</v>
      </c>
      <c r="O88">
        <v>17238</v>
      </c>
      <c r="P88">
        <v>19195</v>
      </c>
      <c r="Q88">
        <v>20840</v>
      </c>
      <c r="R88">
        <v>20206</v>
      </c>
      <c r="S88">
        <v>19479</v>
      </c>
      <c r="T88">
        <v>18674</v>
      </c>
      <c r="U88">
        <v>17571</v>
      </c>
      <c r="V88">
        <v>18120</v>
      </c>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row>
    <row r="89" spans="1:97" s="7" customFormat="1" x14ac:dyDescent="0.3">
      <c r="A89" s="4"/>
      <c r="B89" s="4" t="s">
        <v>34</v>
      </c>
      <c r="C89" s="8"/>
      <c r="D89" s="8">
        <f>D87-D88</f>
        <v>807</v>
      </c>
      <c r="E89" s="8">
        <f t="shared" ref="E89:V89" si="11">E87-E88</f>
        <v>767</v>
      </c>
      <c r="F89" s="8">
        <f t="shared" si="11"/>
        <v>1179</v>
      </c>
      <c r="G89" s="8">
        <f t="shared" si="11"/>
        <v>1482</v>
      </c>
      <c r="H89" s="8">
        <f t="shared" si="11"/>
        <v>1039</v>
      </c>
      <c r="I89" s="8">
        <f t="shared" si="11"/>
        <v>879</v>
      </c>
      <c r="J89" s="8">
        <f t="shared" si="11"/>
        <v>318</v>
      </c>
      <c r="K89" s="8">
        <f t="shared" si="11"/>
        <v>471</v>
      </c>
      <c r="L89" s="8">
        <f t="shared" si="11"/>
        <v>753</v>
      </c>
      <c r="M89" s="8">
        <f t="shared" si="11"/>
        <v>443</v>
      </c>
      <c r="N89" s="8">
        <f t="shared" si="11"/>
        <v>-1446</v>
      </c>
      <c r="O89" s="8">
        <f t="shared" si="11"/>
        <v>-2259</v>
      </c>
      <c r="P89" s="8">
        <f t="shared" si="11"/>
        <v>-3022</v>
      </c>
      <c r="Q89" s="8">
        <f t="shared" si="11"/>
        <v>-2897</v>
      </c>
      <c r="R89" s="8">
        <f t="shared" si="11"/>
        <v>-3477</v>
      </c>
      <c r="S89" s="8">
        <f t="shared" si="11"/>
        <v>-2668</v>
      </c>
      <c r="T89" s="8">
        <f t="shared" si="11"/>
        <v>-3782</v>
      </c>
      <c r="U89" s="8">
        <f t="shared" si="11"/>
        <v>-3228</v>
      </c>
      <c r="V89" s="8">
        <f t="shared" si="11"/>
        <v>-3406</v>
      </c>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row>
    <row r="90" spans="1:97" s="2" customFormat="1" x14ac:dyDescent="0.3">
      <c r="A90" s="4"/>
      <c r="B90" s="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row>
    <row r="91" spans="1:97" s="2" customFormat="1" x14ac:dyDescent="0.3">
      <c r="A91" s="4"/>
      <c r="B91" s="1" t="s">
        <v>52</v>
      </c>
      <c r="C91" s="26" t="s">
        <v>100</v>
      </c>
      <c r="D91">
        <v>5887</v>
      </c>
      <c r="E91">
        <v>6398</v>
      </c>
      <c r="F91">
        <v>6399</v>
      </c>
      <c r="G91">
        <v>6521</v>
      </c>
      <c r="H91">
        <v>6478</v>
      </c>
      <c r="I91">
        <v>6847</v>
      </c>
      <c r="J91">
        <v>6628</v>
      </c>
      <c r="K91">
        <v>6989</v>
      </c>
      <c r="L91">
        <v>8249</v>
      </c>
      <c r="M91">
        <v>8181</v>
      </c>
      <c r="N91">
        <v>9153</v>
      </c>
      <c r="O91">
        <v>10628</v>
      </c>
      <c r="P91">
        <v>11369</v>
      </c>
      <c r="Q91">
        <v>11752</v>
      </c>
      <c r="R91">
        <v>11684</v>
      </c>
      <c r="S91">
        <v>10204</v>
      </c>
      <c r="T91">
        <v>9741</v>
      </c>
      <c r="U91">
        <v>11768</v>
      </c>
      <c r="V91">
        <v>10147</v>
      </c>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row>
    <row r="92" spans="1:97" s="2" customFormat="1" x14ac:dyDescent="0.3">
      <c r="A92" s="4"/>
      <c r="B92" s="1" t="s">
        <v>59</v>
      </c>
      <c r="C92" s="1" t="s">
        <v>101</v>
      </c>
      <c r="D92" s="5">
        <v>3769</v>
      </c>
      <c r="E92" s="5">
        <v>3970</v>
      </c>
      <c r="F92" s="5">
        <v>4534</v>
      </c>
      <c r="G92" s="5">
        <v>4479</v>
      </c>
      <c r="H92" s="5">
        <v>4305</v>
      </c>
      <c r="I92" s="5">
        <v>4929</v>
      </c>
      <c r="J92" s="5">
        <v>5608</v>
      </c>
      <c r="K92" s="5">
        <v>6213</v>
      </c>
      <c r="L92" s="5">
        <v>6388</v>
      </c>
      <c r="M92" s="5">
        <v>6710</v>
      </c>
      <c r="N92" s="5">
        <v>6614</v>
      </c>
      <c r="O92" s="5">
        <v>5818</v>
      </c>
      <c r="P92" s="5">
        <v>7258</v>
      </c>
      <c r="Q92" s="5">
        <v>8330</v>
      </c>
      <c r="R92" s="5">
        <v>7975</v>
      </c>
      <c r="S92" s="5">
        <v>6978</v>
      </c>
      <c r="T92" s="5">
        <v>6635</v>
      </c>
      <c r="U92" s="5">
        <v>6619</v>
      </c>
      <c r="V92" s="5">
        <v>6902</v>
      </c>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row>
    <row r="93" spans="1:97" s="7" customFormat="1" x14ac:dyDescent="0.3">
      <c r="A93" s="4"/>
      <c r="B93" s="4" t="s">
        <v>34</v>
      </c>
      <c r="C93" s="4"/>
      <c r="D93" s="8">
        <f>D91-D92</f>
        <v>2118</v>
      </c>
      <c r="E93" s="8">
        <f t="shared" ref="E93:V93" si="12">E91-E92</f>
        <v>2428</v>
      </c>
      <c r="F93" s="8">
        <f t="shared" si="12"/>
        <v>1865</v>
      </c>
      <c r="G93" s="8">
        <f t="shared" si="12"/>
        <v>2042</v>
      </c>
      <c r="H93" s="8">
        <f t="shared" si="12"/>
        <v>2173</v>
      </c>
      <c r="I93" s="8">
        <f t="shared" si="12"/>
        <v>1918</v>
      </c>
      <c r="J93" s="8">
        <f t="shared" si="12"/>
        <v>1020</v>
      </c>
      <c r="K93" s="8">
        <f t="shared" si="12"/>
        <v>776</v>
      </c>
      <c r="L93" s="8">
        <f t="shared" si="12"/>
        <v>1861</v>
      </c>
      <c r="M93" s="8">
        <f t="shared" si="12"/>
        <v>1471</v>
      </c>
      <c r="N93" s="8">
        <f t="shared" si="12"/>
        <v>2539</v>
      </c>
      <c r="O93" s="8">
        <f t="shared" si="12"/>
        <v>4810</v>
      </c>
      <c r="P93" s="8">
        <f t="shared" si="12"/>
        <v>4111</v>
      </c>
      <c r="Q93" s="8">
        <f t="shared" si="12"/>
        <v>3422</v>
      </c>
      <c r="R93" s="8">
        <f t="shared" si="12"/>
        <v>3709</v>
      </c>
      <c r="S93" s="8">
        <f t="shared" si="12"/>
        <v>3226</v>
      </c>
      <c r="T93" s="8">
        <f t="shared" si="12"/>
        <v>3106</v>
      </c>
      <c r="U93" s="8">
        <f t="shared" si="12"/>
        <v>5149</v>
      </c>
      <c r="V93" s="8">
        <f t="shared" si="12"/>
        <v>3245</v>
      </c>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row>
    <row r="95" spans="1:97" s="7" customFormat="1" x14ac:dyDescent="0.3">
      <c r="A95" s="31"/>
      <c r="B95" s="31"/>
      <c r="C95" s="13"/>
      <c r="D95" s="53">
        <v>1998</v>
      </c>
      <c r="E95" s="53" t="s">
        <v>1</v>
      </c>
      <c r="F95" s="53" t="s">
        <v>2</v>
      </c>
      <c r="G95" s="53" t="s">
        <v>3</v>
      </c>
      <c r="H95" s="53" t="s">
        <v>4</v>
      </c>
      <c r="I95" s="53" t="s">
        <v>5</v>
      </c>
      <c r="J95" s="53" t="s">
        <v>6</v>
      </c>
      <c r="K95" s="53" t="s">
        <v>7</v>
      </c>
      <c r="L95" s="53" t="s">
        <v>8</v>
      </c>
      <c r="M95" s="53" t="s">
        <v>9</v>
      </c>
      <c r="N95" s="53" t="s">
        <v>10</v>
      </c>
      <c r="O95" s="53" t="s">
        <v>11</v>
      </c>
      <c r="P95" s="53" t="s">
        <v>12</v>
      </c>
      <c r="Q95" s="53" t="s">
        <v>13</v>
      </c>
      <c r="R95" s="53" t="s">
        <v>14</v>
      </c>
      <c r="S95" s="53" t="s">
        <v>15</v>
      </c>
      <c r="T95" s="53" t="s">
        <v>16</v>
      </c>
      <c r="U95" s="53" t="s">
        <v>17</v>
      </c>
      <c r="V95" s="54" t="s">
        <v>18</v>
      </c>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row>
    <row r="96" spans="1:97" s="49" customFormat="1" ht="28.8" x14ac:dyDescent="0.3">
      <c r="A96" s="50" t="s">
        <v>117</v>
      </c>
      <c r="B96" s="47" t="s">
        <v>60</v>
      </c>
      <c r="C96" s="47" t="s">
        <v>27</v>
      </c>
      <c r="D96" s="48">
        <v>21220</v>
      </c>
      <c r="E96" s="48">
        <v>22416</v>
      </c>
      <c r="F96" s="48">
        <v>25585</v>
      </c>
      <c r="G96" s="48">
        <v>26872</v>
      </c>
      <c r="H96" s="48">
        <v>27223</v>
      </c>
      <c r="I96" s="48">
        <v>18779</v>
      </c>
      <c r="J96" s="48">
        <v>16412</v>
      </c>
      <c r="K96" s="48">
        <v>20134</v>
      </c>
      <c r="L96" s="64">
        <v>41445</v>
      </c>
      <c r="M96" s="48">
        <v>12517</v>
      </c>
      <c r="N96" s="48">
        <v>12650</v>
      </c>
      <c r="O96" s="48">
        <v>12264</v>
      </c>
      <c r="P96" s="48">
        <v>13061</v>
      </c>
      <c r="Q96" s="48">
        <v>12439</v>
      </c>
      <c r="R96" s="48">
        <v>10212</v>
      </c>
      <c r="S96" s="48">
        <v>10259</v>
      </c>
      <c r="T96" s="48">
        <v>11020</v>
      </c>
      <c r="U96" s="48">
        <v>10648</v>
      </c>
      <c r="V96" s="48">
        <v>11586</v>
      </c>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row>
    <row r="97" spans="1:97" s="2" customFormat="1" x14ac:dyDescent="0.3">
      <c r="A97" s="15"/>
      <c r="B97" s="1" t="s">
        <v>61</v>
      </c>
      <c r="C97" s="1" t="s">
        <v>28</v>
      </c>
      <c r="D97">
        <v>14671</v>
      </c>
      <c r="E97">
        <v>17623</v>
      </c>
      <c r="F97">
        <v>22250</v>
      </c>
      <c r="G97">
        <v>24812</v>
      </c>
      <c r="H97">
        <v>28261</v>
      </c>
      <c r="I97">
        <v>22153</v>
      </c>
      <c r="J97">
        <v>22065</v>
      </c>
      <c r="K97">
        <v>32430</v>
      </c>
      <c r="L97">
        <v>50247</v>
      </c>
      <c r="M97">
        <v>21606</v>
      </c>
      <c r="N97">
        <v>21736</v>
      </c>
      <c r="O97">
        <v>20398</v>
      </c>
      <c r="P97">
        <v>22139</v>
      </c>
      <c r="Q97">
        <v>21431</v>
      </c>
      <c r="R97">
        <v>21080</v>
      </c>
      <c r="S97">
        <v>21752</v>
      </c>
      <c r="T97">
        <v>20719</v>
      </c>
      <c r="U97">
        <v>21307</v>
      </c>
      <c r="V97">
        <v>21300</v>
      </c>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row>
    <row r="98" spans="1:97" s="6" customFormat="1" x14ac:dyDescent="0.3">
      <c r="A98" s="16"/>
      <c r="B98" s="4" t="s">
        <v>31</v>
      </c>
      <c r="D98" s="6">
        <f>D96-D97</f>
        <v>6549</v>
      </c>
      <c r="E98" s="6">
        <f t="shared" ref="E98:I98" si="13">E96-E97</f>
        <v>4793</v>
      </c>
      <c r="F98" s="6">
        <f t="shared" si="13"/>
        <v>3335</v>
      </c>
      <c r="G98" s="6">
        <f t="shared" si="13"/>
        <v>2060</v>
      </c>
      <c r="H98" s="6">
        <f t="shared" si="13"/>
        <v>-1038</v>
      </c>
      <c r="I98" s="6">
        <f t="shared" si="13"/>
        <v>-3374</v>
      </c>
      <c r="J98" s="6">
        <f t="shared" ref="J98" si="14">J96-J97</f>
        <v>-5653</v>
      </c>
      <c r="K98" s="6">
        <f t="shared" ref="K98" si="15">K96-K97</f>
        <v>-12296</v>
      </c>
      <c r="L98" s="6">
        <f t="shared" ref="L98" si="16">L96-L97</f>
        <v>-8802</v>
      </c>
      <c r="M98" s="6">
        <f t="shared" ref="M98:N98" si="17">M96-M97</f>
        <v>-9089</v>
      </c>
      <c r="N98" s="6">
        <f t="shared" si="17"/>
        <v>-9086</v>
      </c>
      <c r="O98" s="6">
        <f t="shared" ref="O98" si="18">O96-O97</f>
        <v>-8134</v>
      </c>
      <c r="P98" s="6">
        <f t="shared" ref="P98" si="19">P96-P97</f>
        <v>-9078</v>
      </c>
      <c r="Q98" s="6">
        <f t="shared" ref="Q98" si="20">Q96-Q97</f>
        <v>-8992</v>
      </c>
      <c r="R98" s="6">
        <f t="shared" ref="R98:S98" si="21">R96-R97</f>
        <v>-10868</v>
      </c>
      <c r="S98" s="6">
        <f t="shared" si="21"/>
        <v>-11493</v>
      </c>
      <c r="T98" s="6">
        <f t="shared" ref="T98" si="22">T96-T97</f>
        <v>-9699</v>
      </c>
      <c r="U98" s="6">
        <f t="shared" ref="U98" si="23">U96-U97</f>
        <v>-10659</v>
      </c>
      <c r="V98" s="6">
        <f t="shared" ref="V98" si="24">V96-V97</f>
        <v>-9714</v>
      </c>
    </row>
    <row r="100" spans="1:97" s="2" customFormat="1" x14ac:dyDescent="0.3">
      <c r="A100" s="15"/>
      <c r="B100" s="1" t="s">
        <v>62</v>
      </c>
      <c r="C100" s="1" t="s">
        <v>29</v>
      </c>
      <c r="D100">
        <v>10116</v>
      </c>
      <c r="E100">
        <v>10415</v>
      </c>
      <c r="F100">
        <v>13103</v>
      </c>
      <c r="G100">
        <v>12298</v>
      </c>
      <c r="H100">
        <v>9461</v>
      </c>
      <c r="I100">
        <v>9455</v>
      </c>
      <c r="J100">
        <v>9806</v>
      </c>
      <c r="K100">
        <v>15319</v>
      </c>
      <c r="L100">
        <v>11922</v>
      </c>
      <c r="M100">
        <v>8301</v>
      </c>
      <c r="N100">
        <v>9257</v>
      </c>
      <c r="O100">
        <v>10058</v>
      </c>
      <c r="P100">
        <v>10859</v>
      </c>
      <c r="Q100">
        <v>11731</v>
      </c>
      <c r="R100">
        <v>11922</v>
      </c>
      <c r="S100">
        <v>12131</v>
      </c>
      <c r="T100">
        <v>11953</v>
      </c>
      <c r="U100">
        <v>12323</v>
      </c>
      <c r="V100">
        <v>13125</v>
      </c>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row>
    <row r="101" spans="1:97" s="2" customFormat="1" x14ac:dyDescent="0.3">
      <c r="A101" s="15"/>
      <c r="B101" s="1" t="s">
        <v>59</v>
      </c>
      <c r="C101" s="1" t="s">
        <v>30</v>
      </c>
      <c r="D101" s="5">
        <v>18818</v>
      </c>
      <c r="E101" s="5">
        <v>20796</v>
      </c>
      <c r="F101" s="5">
        <v>26900</v>
      </c>
      <c r="G101" s="5">
        <v>22358</v>
      </c>
      <c r="H101" s="5">
        <v>18229</v>
      </c>
      <c r="I101" s="5">
        <v>17639</v>
      </c>
      <c r="J101" s="5">
        <v>18683</v>
      </c>
      <c r="K101" s="5">
        <v>18342</v>
      </c>
      <c r="L101" s="5">
        <v>19732</v>
      </c>
      <c r="M101" s="5">
        <v>18179</v>
      </c>
      <c r="N101" s="5">
        <v>19004</v>
      </c>
      <c r="O101" s="5">
        <v>18617</v>
      </c>
      <c r="P101" s="5">
        <v>21343</v>
      </c>
      <c r="Q101" s="5">
        <v>21470</v>
      </c>
      <c r="R101" s="5">
        <v>21100</v>
      </c>
      <c r="S101" s="5">
        <v>21697</v>
      </c>
      <c r="T101" s="5">
        <v>21728</v>
      </c>
      <c r="U101" s="5">
        <v>22659</v>
      </c>
      <c r="V101" s="5">
        <v>25035</v>
      </c>
    </row>
    <row r="102" spans="1:97" s="6" customFormat="1" x14ac:dyDescent="0.3">
      <c r="A102" s="16"/>
      <c r="B102" s="4" t="s">
        <v>31</v>
      </c>
      <c r="D102" s="6">
        <f>D100-D101</f>
        <v>-8702</v>
      </c>
      <c r="E102" s="6">
        <f t="shared" ref="E102:V102" si="25">E100-E101</f>
        <v>-10381</v>
      </c>
      <c r="F102" s="6">
        <f t="shared" si="25"/>
        <v>-13797</v>
      </c>
      <c r="G102" s="6">
        <f t="shared" si="25"/>
        <v>-10060</v>
      </c>
      <c r="H102" s="6">
        <f t="shared" si="25"/>
        <v>-8768</v>
      </c>
      <c r="I102" s="6">
        <f t="shared" si="25"/>
        <v>-8184</v>
      </c>
      <c r="J102" s="6">
        <f t="shared" si="25"/>
        <v>-8877</v>
      </c>
      <c r="K102" s="6">
        <f t="shared" si="25"/>
        <v>-3023</v>
      </c>
      <c r="L102" s="6">
        <f t="shared" si="25"/>
        <v>-7810</v>
      </c>
      <c r="M102" s="6">
        <f t="shared" si="25"/>
        <v>-9878</v>
      </c>
      <c r="N102" s="6">
        <f t="shared" si="25"/>
        <v>-9747</v>
      </c>
      <c r="O102" s="6">
        <f t="shared" si="25"/>
        <v>-8559</v>
      </c>
      <c r="P102" s="6">
        <f t="shared" si="25"/>
        <v>-10484</v>
      </c>
      <c r="Q102" s="6">
        <f t="shared" si="25"/>
        <v>-9739</v>
      </c>
      <c r="R102" s="6">
        <f t="shared" si="25"/>
        <v>-9178</v>
      </c>
      <c r="S102" s="6">
        <f t="shared" si="25"/>
        <v>-9566</v>
      </c>
      <c r="T102" s="6">
        <f t="shared" si="25"/>
        <v>-9775</v>
      </c>
      <c r="U102" s="6">
        <f t="shared" si="25"/>
        <v>-10336</v>
      </c>
      <c r="V102" s="6">
        <f t="shared" si="25"/>
        <v>-11910</v>
      </c>
    </row>
    <row r="103" spans="1:97" s="6" customFormat="1" x14ac:dyDescent="0.3">
      <c r="A103" s="16"/>
      <c r="B103" s="4"/>
    </row>
    <row r="104" spans="1:97" s="6" customFormat="1" x14ac:dyDescent="0.3">
      <c r="A104" s="16" t="s">
        <v>308</v>
      </c>
      <c r="B104" s="4"/>
      <c r="D104" s="53">
        <v>1998</v>
      </c>
      <c r="E104" s="53" t="s">
        <v>1</v>
      </c>
      <c r="F104" s="53" t="s">
        <v>2</v>
      </c>
      <c r="G104" s="53" t="s">
        <v>3</v>
      </c>
      <c r="H104" s="53" t="s">
        <v>4</v>
      </c>
      <c r="I104" s="53" t="s">
        <v>5</v>
      </c>
      <c r="J104" s="53" t="s">
        <v>6</v>
      </c>
      <c r="K104" s="53" t="s">
        <v>7</v>
      </c>
      <c r="L104" s="53" t="s">
        <v>8</v>
      </c>
      <c r="M104" s="53" t="s">
        <v>9</v>
      </c>
      <c r="N104" s="53" t="s">
        <v>10</v>
      </c>
      <c r="O104" s="53" t="s">
        <v>11</v>
      </c>
      <c r="P104" s="53" t="s">
        <v>12</v>
      </c>
      <c r="Q104" s="53" t="s">
        <v>13</v>
      </c>
      <c r="R104" s="53" t="s">
        <v>14</v>
      </c>
      <c r="S104" s="53" t="s">
        <v>15</v>
      </c>
      <c r="T104" s="53" t="s">
        <v>16</v>
      </c>
      <c r="U104" s="53" t="s">
        <v>17</v>
      </c>
      <c r="V104" s="54" t="s">
        <v>18</v>
      </c>
    </row>
    <row r="105" spans="1:97" s="2" customFormat="1" x14ac:dyDescent="0.3">
      <c r="B105" s="4" t="s">
        <v>60</v>
      </c>
      <c r="C105" s="1" t="s">
        <v>312</v>
      </c>
      <c r="D105" s="91">
        <v>3920</v>
      </c>
      <c r="E105" s="91">
        <v>3209</v>
      </c>
      <c r="F105" s="91">
        <v>3795</v>
      </c>
      <c r="G105" s="91">
        <v>3710</v>
      </c>
      <c r="H105" s="91">
        <v>3636</v>
      </c>
      <c r="I105" s="91">
        <v>3774</v>
      </c>
      <c r="J105" s="91">
        <v>4967</v>
      </c>
      <c r="K105" s="91">
        <v>5686</v>
      </c>
      <c r="L105" s="91">
        <v>6737</v>
      </c>
      <c r="M105" s="91">
        <v>7819</v>
      </c>
      <c r="N105" s="91">
        <v>8083</v>
      </c>
      <c r="O105" s="91">
        <v>5204</v>
      </c>
      <c r="P105" s="91">
        <v>6485</v>
      </c>
      <c r="Q105" s="91">
        <v>8213</v>
      </c>
      <c r="R105" s="91">
        <v>6645</v>
      </c>
      <c r="S105" s="91">
        <v>6576</v>
      </c>
      <c r="T105" s="91">
        <v>6374</v>
      </c>
      <c r="U105" s="91">
        <v>5454</v>
      </c>
      <c r="V105" s="91">
        <v>5209</v>
      </c>
    </row>
    <row r="106" spans="1:97" s="2" customFormat="1" x14ac:dyDescent="0.3">
      <c r="B106" s="4" t="s">
        <v>58</v>
      </c>
      <c r="C106" s="1" t="s">
        <v>313</v>
      </c>
      <c r="D106" s="91">
        <v>4056</v>
      </c>
      <c r="E106" s="91">
        <v>3254</v>
      </c>
      <c r="F106" s="91">
        <v>3636</v>
      </c>
      <c r="G106" s="91">
        <v>3946</v>
      </c>
      <c r="H106" s="91">
        <v>4013</v>
      </c>
      <c r="I106" s="91">
        <v>4388</v>
      </c>
      <c r="J106" s="91">
        <v>5099</v>
      </c>
      <c r="K106" s="91">
        <v>5452</v>
      </c>
      <c r="L106" s="91">
        <v>6625</v>
      </c>
      <c r="M106" s="91">
        <v>7570</v>
      </c>
      <c r="N106" s="91">
        <v>8111</v>
      </c>
      <c r="O106" s="91">
        <v>6005</v>
      </c>
      <c r="P106" s="91">
        <v>7606</v>
      </c>
      <c r="Q106" s="91">
        <v>9712</v>
      </c>
      <c r="R106" s="91">
        <v>10324</v>
      </c>
      <c r="S106" s="91">
        <v>8663</v>
      </c>
      <c r="T106" s="91">
        <v>8568</v>
      </c>
      <c r="U106" s="91">
        <v>7573</v>
      </c>
      <c r="V106" s="91">
        <v>7973</v>
      </c>
    </row>
    <row r="107" spans="1:97" s="6" customFormat="1" x14ac:dyDescent="0.3">
      <c r="B107" s="16"/>
      <c r="C107" s="4" t="s">
        <v>34</v>
      </c>
      <c r="D107" s="6">
        <f>D105-D106</f>
        <v>-136</v>
      </c>
      <c r="E107" s="6">
        <f t="shared" ref="E107:V107" si="26">E105-E106</f>
        <v>-45</v>
      </c>
      <c r="F107" s="6">
        <f t="shared" si="26"/>
        <v>159</v>
      </c>
      <c r="G107" s="6">
        <f t="shared" si="26"/>
        <v>-236</v>
      </c>
      <c r="H107" s="6">
        <f t="shared" si="26"/>
        <v>-377</v>
      </c>
      <c r="I107" s="6">
        <f t="shared" si="26"/>
        <v>-614</v>
      </c>
      <c r="J107" s="6">
        <f t="shared" si="26"/>
        <v>-132</v>
      </c>
      <c r="K107" s="6">
        <f t="shared" si="26"/>
        <v>234</v>
      </c>
      <c r="L107" s="6">
        <f t="shared" si="26"/>
        <v>112</v>
      </c>
      <c r="M107" s="6">
        <f t="shared" si="26"/>
        <v>249</v>
      </c>
      <c r="N107" s="6">
        <f t="shared" si="26"/>
        <v>-28</v>
      </c>
      <c r="O107" s="6">
        <f t="shared" si="26"/>
        <v>-801</v>
      </c>
      <c r="P107" s="6">
        <f t="shared" si="26"/>
        <v>-1121</v>
      </c>
      <c r="Q107" s="6">
        <f t="shared" si="26"/>
        <v>-1499</v>
      </c>
      <c r="R107" s="6">
        <f t="shared" si="26"/>
        <v>-3679</v>
      </c>
      <c r="S107" s="6">
        <f t="shared" si="26"/>
        <v>-2087</v>
      </c>
      <c r="T107" s="6">
        <f t="shared" si="26"/>
        <v>-2194</v>
      </c>
      <c r="U107" s="6">
        <f t="shared" si="26"/>
        <v>-2119</v>
      </c>
      <c r="V107" s="6">
        <f t="shared" si="26"/>
        <v>-2764</v>
      </c>
    </row>
    <row r="108" spans="1:97" s="6" customFormat="1" x14ac:dyDescent="0.3">
      <c r="B108" s="16"/>
      <c r="C108" s="4"/>
    </row>
    <row r="109" spans="1:97" s="2" customFormat="1" x14ac:dyDescent="0.3">
      <c r="B109" s="4" t="s">
        <v>306</v>
      </c>
      <c r="C109" s="1" t="s">
        <v>314</v>
      </c>
      <c r="D109" s="91">
        <v>2135</v>
      </c>
      <c r="E109" s="91">
        <v>1992</v>
      </c>
      <c r="F109" s="91">
        <v>2799</v>
      </c>
      <c r="G109" s="91">
        <v>2575</v>
      </c>
      <c r="H109" s="91">
        <v>2108</v>
      </c>
      <c r="I109" s="91">
        <v>2378</v>
      </c>
      <c r="J109" s="91">
        <v>3485</v>
      </c>
      <c r="K109" s="91">
        <v>3908</v>
      </c>
      <c r="L109" s="91">
        <v>4298</v>
      </c>
      <c r="M109" s="91">
        <v>6436</v>
      </c>
      <c r="N109" s="91">
        <v>8363</v>
      </c>
      <c r="O109" s="91">
        <v>4439</v>
      </c>
      <c r="P109" s="91">
        <v>6214</v>
      </c>
      <c r="Q109" s="91">
        <v>9741</v>
      </c>
      <c r="R109" s="91">
        <v>8694</v>
      </c>
      <c r="S109" s="91">
        <v>10163</v>
      </c>
      <c r="T109" s="91">
        <v>11724</v>
      </c>
      <c r="U109" s="91">
        <v>11548</v>
      </c>
      <c r="V109" s="91">
        <v>10268</v>
      </c>
    </row>
    <row r="110" spans="1:97" s="2" customFormat="1" x14ac:dyDescent="0.3">
      <c r="B110" s="4" t="s">
        <v>307</v>
      </c>
      <c r="C110" s="1" t="s">
        <v>315</v>
      </c>
      <c r="D110" s="5">
        <v>3325</v>
      </c>
      <c r="E110" s="5">
        <v>2714</v>
      </c>
      <c r="F110" s="5">
        <v>3170</v>
      </c>
      <c r="G110" s="5">
        <v>3578</v>
      </c>
      <c r="H110" s="5">
        <v>3594</v>
      </c>
      <c r="I110" s="5">
        <v>3709</v>
      </c>
      <c r="J110" s="5">
        <v>3443</v>
      </c>
      <c r="K110" s="5">
        <v>3972</v>
      </c>
      <c r="L110" s="5">
        <v>7156</v>
      </c>
      <c r="M110" s="5">
        <v>7634</v>
      </c>
      <c r="N110" s="5">
        <v>7718</v>
      </c>
      <c r="O110" s="5">
        <v>7756</v>
      </c>
      <c r="P110" s="5">
        <v>8983</v>
      </c>
      <c r="Q110" s="5">
        <v>10464</v>
      </c>
      <c r="R110" s="5">
        <v>11730</v>
      </c>
      <c r="S110" s="5">
        <v>14979</v>
      </c>
      <c r="T110" s="5">
        <v>10278</v>
      </c>
      <c r="U110" s="5">
        <v>9113</v>
      </c>
      <c r="V110" s="5">
        <v>10165</v>
      </c>
    </row>
    <row r="111" spans="1:97" s="6" customFormat="1" x14ac:dyDescent="0.3">
      <c r="B111" s="16"/>
      <c r="C111" s="4" t="s">
        <v>34</v>
      </c>
      <c r="D111" s="6">
        <f>D109-D110</f>
        <v>-1190</v>
      </c>
      <c r="E111" s="6">
        <f t="shared" ref="E111:V111" si="27">E109-E110</f>
        <v>-722</v>
      </c>
      <c r="F111" s="6">
        <f t="shared" si="27"/>
        <v>-371</v>
      </c>
      <c r="G111" s="6">
        <f t="shared" si="27"/>
        <v>-1003</v>
      </c>
      <c r="H111" s="6">
        <f t="shared" si="27"/>
        <v>-1486</v>
      </c>
      <c r="I111" s="6">
        <f t="shared" si="27"/>
        <v>-1331</v>
      </c>
      <c r="J111" s="6">
        <f t="shared" si="27"/>
        <v>42</v>
      </c>
      <c r="K111" s="6">
        <f t="shared" si="27"/>
        <v>-64</v>
      </c>
      <c r="L111" s="6">
        <f t="shared" si="27"/>
        <v>-2858</v>
      </c>
      <c r="M111" s="6">
        <f t="shared" si="27"/>
        <v>-1198</v>
      </c>
      <c r="N111" s="6">
        <f t="shared" si="27"/>
        <v>645</v>
      </c>
      <c r="O111" s="6">
        <f t="shared" si="27"/>
        <v>-3317</v>
      </c>
      <c r="P111" s="6">
        <f t="shared" si="27"/>
        <v>-2769</v>
      </c>
      <c r="Q111" s="6">
        <f t="shared" si="27"/>
        <v>-723</v>
      </c>
      <c r="R111" s="6">
        <f t="shared" si="27"/>
        <v>-3036</v>
      </c>
      <c r="S111" s="6">
        <f t="shared" si="27"/>
        <v>-4816</v>
      </c>
      <c r="T111" s="6">
        <f t="shared" si="27"/>
        <v>1446</v>
      </c>
      <c r="U111" s="6">
        <f t="shared" si="27"/>
        <v>2435</v>
      </c>
      <c r="V111" s="6">
        <f t="shared" si="27"/>
        <v>103</v>
      </c>
    </row>
    <row r="112" spans="1:97" s="6" customFormat="1" x14ac:dyDescent="0.3">
      <c r="A112" s="16"/>
      <c r="B112" s="4"/>
    </row>
    <row r="113" spans="1:22" s="7" customFormat="1" x14ac:dyDescent="0.3">
      <c r="B113" s="31"/>
      <c r="C113" s="31"/>
      <c r="D113" s="53" t="s">
        <v>0</v>
      </c>
      <c r="E113" s="53" t="s">
        <v>1</v>
      </c>
      <c r="F113" s="53" t="s">
        <v>2</v>
      </c>
      <c r="G113" s="53" t="s">
        <v>3</v>
      </c>
      <c r="H113" s="53" t="s">
        <v>4</v>
      </c>
      <c r="I113" s="53" t="s">
        <v>5</v>
      </c>
      <c r="J113" s="53" t="s">
        <v>6</v>
      </c>
      <c r="K113" s="53" t="s">
        <v>7</v>
      </c>
      <c r="L113" s="53" t="s">
        <v>8</v>
      </c>
      <c r="M113" s="53" t="s">
        <v>9</v>
      </c>
      <c r="N113" s="53" t="s">
        <v>10</v>
      </c>
      <c r="O113" s="53" t="s">
        <v>11</v>
      </c>
      <c r="P113" s="53" t="s">
        <v>12</v>
      </c>
      <c r="Q113" s="53" t="s">
        <v>13</v>
      </c>
      <c r="R113" s="53" t="s">
        <v>14</v>
      </c>
      <c r="S113" s="53" t="s">
        <v>15</v>
      </c>
      <c r="T113" s="53" t="s">
        <v>16</v>
      </c>
      <c r="U113" s="53" t="s">
        <v>17</v>
      </c>
      <c r="V113" s="54" t="s">
        <v>18</v>
      </c>
    </row>
    <row r="114" spans="1:22" s="2" customFormat="1" x14ac:dyDescent="0.3">
      <c r="A114" s="7" t="s">
        <v>316</v>
      </c>
      <c r="B114" s="4" t="s">
        <v>60</v>
      </c>
      <c r="C114" s="25" t="s">
        <v>302</v>
      </c>
      <c r="D114" s="91">
        <v>4177</v>
      </c>
      <c r="E114" s="91">
        <v>4030</v>
      </c>
      <c r="F114" s="91">
        <v>3795</v>
      </c>
      <c r="G114" s="91">
        <v>3680</v>
      </c>
      <c r="H114" s="91">
        <v>3993</v>
      </c>
      <c r="I114" s="91">
        <v>4302</v>
      </c>
      <c r="J114" s="91">
        <v>4342</v>
      </c>
      <c r="K114" s="91">
        <v>4583</v>
      </c>
      <c r="L114" s="91">
        <v>4570</v>
      </c>
      <c r="M114" s="91">
        <v>5442</v>
      </c>
      <c r="N114" s="91">
        <v>6310</v>
      </c>
      <c r="O114" s="91">
        <v>6504</v>
      </c>
      <c r="P114" s="91">
        <v>7915</v>
      </c>
      <c r="Q114" s="91">
        <v>9926</v>
      </c>
      <c r="R114" s="91">
        <v>8231</v>
      </c>
      <c r="S114" s="91">
        <v>8201</v>
      </c>
      <c r="T114" s="91">
        <v>7716</v>
      </c>
      <c r="U114" s="91">
        <v>7163</v>
      </c>
      <c r="V114" s="91">
        <v>7908</v>
      </c>
    </row>
    <row r="115" spans="1:22" s="2" customFormat="1" x14ac:dyDescent="0.3">
      <c r="B115" s="4" t="s">
        <v>58</v>
      </c>
      <c r="C115" s="26" t="s">
        <v>303</v>
      </c>
      <c r="D115" s="91">
        <v>6882</v>
      </c>
      <c r="E115" s="91">
        <v>7157</v>
      </c>
      <c r="F115" s="91">
        <v>7111</v>
      </c>
      <c r="G115" s="91">
        <v>7613</v>
      </c>
      <c r="H115" s="91">
        <v>8069</v>
      </c>
      <c r="I115" s="91">
        <v>9423</v>
      </c>
      <c r="J115" s="91">
        <v>10000</v>
      </c>
      <c r="K115" s="91">
        <v>10682</v>
      </c>
      <c r="L115" s="91">
        <v>11278</v>
      </c>
      <c r="M115" s="91">
        <v>12302</v>
      </c>
      <c r="N115" s="91">
        <v>14901</v>
      </c>
      <c r="O115" s="91">
        <v>15679</v>
      </c>
      <c r="P115" s="91">
        <v>16024</v>
      </c>
      <c r="Q115" s="91">
        <v>17572</v>
      </c>
      <c r="R115" s="91">
        <v>18129</v>
      </c>
      <c r="S115" s="91">
        <v>19584</v>
      </c>
      <c r="T115" s="91">
        <v>19717</v>
      </c>
      <c r="U115" s="91">
        <v>19484</v>
      </c>
      <c r="V115" s="91">
        <v>20908</v>
      </c>
    </row>
    <row r="116" spans="1:22" s="6" customFormat="1" x14ac:dyDescent="0.3">
      <c r="B116" s="16" t="s">
        <v>34</v>
      </c>
      <c r="C116" s="4"/>
      <c r="D116" s="6">
        <f>D114-D115</f>
        <v>-2705</v>
      </c>
      <c r="E116" s="6">
        <f t="shared" ref="E116:V116" si="28">E114-E115</f>
        <v>-3127</v>
      </c>
      <c r="F116" s="6">
        <f t="shared" si="28"/>
        <v>-3316</v>
      </c>
      <c r="G116" s="6">
        <f t="shared" si="28"/>
        <v>-3933</v>
      </c>
      <c r="H116" s="6">
        <f t="shared" si="28"/>
        <v>-4076</v>
      </c>
      <c r="I116" s="6">
        <f t="shared" si="28"/>
        <v>-5121</v>
      </c>
      <c r="J116" s="6">
        <f t="shared" si="28"/>
        <v>-5658</v>
      </c>
      <c r="K116" s="6">
        <f t="shared" si="28"/>
        <v>-6099</v>
      </c>
      <c r="L116" s="6">
        <f t="shared" si="28"/>
        <v>-6708</v>
      </c>
      <c r="M116" s="6">
        <f t="shared" si="28"/>
        <v>-6860</v>
      </c>
      <c r="N116" s="6">
        <f t="shared" si="28"/>
        <v>-8591</v>
      </c>
      <c r="O116" s="6">
        <f t="shared" si="28"/>
        <v>-9175</v>
      </c>
      <c r="P116" s="6">
        <f t="shared" si="28"/>
        <v>-8109</v>
      </c>
      <c r="Q116" s="6">
        <f t="shared" si="28"/>
        <v>-7646</v>
      </c>
      <c r="R116" s="6">
        <f t="shared" si="28"/>
        <v>-9898</v>
      </c>
      <c r="S116" s="6">
        <f t="shared" si="28"/>
        <v>-11383</v>
      </c>
      <c r="T116" s="6">
        <f t="shared" si="28"/>
        <v>-12001</v>
      </c>
      <c r="U116" s="6">
        <f t="shared" si="28"/>
        <v>-12321</v>
      </c>
      <c r="V116" s="6">
        <f t="shared" si="28"/>
        <v>-13000</v>
      </c>
    </row>
    <row r="117" spans="1:22" s="6" customFormat="1" x14ac:dyDescent="0.3">
      <c r="B117" s="16"/>
      <c r="C117" s="4"/>
    </row>
    <row r="118" spans="1:22" s="2" customFormat="1" x14ac:dyDescent="0.3">
      <c r="B118" s="4" t="s">
        <v>306</v>
      </c>
      <c r="C118" s="26" t="s">
        <v>304</v>
      </c>
      <c r="D118" s="91">
        <v>1461</v>
      </c>
      <c r="E118" s="91">
        <v>1351</v>
      </c>
      <c r="F118" s="91">
        <v>1335</v>
      </c>
      <c r="G118" s="91">
        <v>1261</v>
      </c>
      <c r="H118" s="91">
        <v>1178</v>
      </c>
      <c r="I118" s="91">
        <v>1328</v>
      </c>
      <c r="J118" s="91">
        <v>1373</v>
      </c>
      <c r="K118" s="91">
        <v>1366</v>
      </c>
      <c r="L118" s="91">
        <v>1342</v>
      </c>
      <c r="M118" s="91">
        <v>1355</v>
      </c>
      <c r="N118" s="91">
        <v>1638</v>
      </c>
      <c r="O118" s="91">
        <v>1730</v>
      </c>
      <c r="P118" s="91">
        <v>2398</v>
      </c>
      <c r="Q118" s="91">
        <v>2970</v>
      </c>
      <c r="R118" s="91">
        <v>2694</v>
      </c>
      <c r="S118" s="91">
        <v>2948</v>
      </c>
      <c r="T118" s="91">
        <v>2933</v>
      </c>
      <c r="U118" s="91">
        <v>3042</v>
      </c>
      <c r="V118" s="91">
        <v>3458</v>
      </c>
    </row>
    <row r="119" spans="1:22" s="2" customFormat="1" x14ac:dyDescent="0.3">
      <c r="B119" s="4" t="s">
        <v>301</v>
      </c>
      <c r="C119" s="1" t="s">
        <v>305</v>
      </c>
      <c r="D119" s="5">
        <v>3182</v>
      </c>
      <c r="E119" s="5">
        <v>3141</v>
      </c>
      <c r="F119" s="5">
        <v>3127</v>
      </c>
      <c r="G119" s="5">
        <v>3335</v>
      </c>
      <c r="H119" s="5">
        <v>3267</v>
      </c>
      <c r="I119" s="5">
        <v>3393</v>
      </c>
      <c r="J119" s="5">
        <v>3473</v>
      </c>
      <c r="K119" s="5">
        <v>3684</v>
      </c>
      <c r="L119" s="5">
        <v>3979</v>
      </c>
      <c r="M119" s="5">
        <v>4220</v>
      </c>
      <c r="N119" s="5">
        <v>5347</v>
      </c>
      <c r="O119" s="5">
        <v>5333</v>
      </c>
      <c r="P119" s="5">
        <v>5590</v>
      </c>
      <c r="Q119" s="5">
        <v>6086</v>
      </c>
      <c r="R119" s="5">
        <v>5954</v>
      </c>
      <c r="S119" s="5">
        <v>6185</v>
      </c>
      <c r="T119" s="5">
        <v>6260</v>
      </c>
      <c r="U119" s="5">
        <v>6072</v>
      </c>
      <c r="V119" s="5">
        <v>6488</v>
      </c>
    </row>
    <row r="120" spans="1:22" s="6" customFormat="1" x14ac:dyDescent="0.3">
      <c r="B120" s="16" t="s">
        <v>34</v>
      </c>
      <c r="C120" s="4"/>
      <c r="D120" s="6">
        <f>D118-D119</f>
        <v>-1721</v>
      </c>
      <c r="E120" s="6">
        <f t="shared" ref="E120:V120" si="29">E118-E119</f>
        <v>-1790</v>
      </c>
      <c r="F120" s="6">
        <f t="shared" si="29"/>
        <v>-1792</v>
      </c>
      <c r="G120" s="6">
        <f t="shared" si="29"/>
        <v>-2074</v>
      </c>
      <c r="H120" s="6">
        <f t="shared" si="29"/>
        <v>-2089</v>
      </c>
      <c r="I120" s="6">
        <f t="shared" si="29"/>
        <v>-2065</v>
      </c>
      <c r="J120" s="6">
        <f t="shared" si="29"/>
        <v>-2100</v>
      </c>
      <c r="K120" s="6">
        <f t="shared" si="29"/>
        <v>-2318</v>
      </c>
      <c r="L120" s="6">
        <f t="shared" si="29"/>
        <v>-2637</v>
      </c>
      <c r="M120" s="6">
        <f t="shared" si="29"/>
        <v>-2865</v>
      </c>
      <c r="N120" s="6">
        <f t="shared" si="29"/>
        <v>-3709</v>
      </c>
      <c r="O120" s="6">
        <f t="shared" si="29"/>
        <v>-3603</v>
      </c>
      <c r="P120" s="6">
        <f t="shared" si="29"/>
        <v>-3192</v>
      </c>
      <c r="Q120" s="6">
        <f t="shared" si="29"/>
        <v>-3116</v>
      </c>
      <c r="R120" s="6">
        <f t="shared" si="29"/>
        <v>-3260</v>
      </c>
      <c r="S120" s="6">
        <f t="shared" si="29"/>
        <v>-3237</v>
      </c>
      <c r="T120" s="6">
        <f t="shared" si="29"/>
        <v>-3327</v>
      </c>
      <c r="U120" s="6">
        <f t="shared" si="29"/>
        <v>-3030</v>
      </c>
      <c r="V120" s="6">
        <f t="shared" si="29"/>
        <v>-3030</v>
      </c>
    </row>
    <row r="121" spans="1:22" s="6" customFormat="1" x14ac:dyDescent="0.3">
      <c r="B121" s="16"/>
      <c r="C121" s="4"/>
    </row>
    <row r="122" spans="1:22" s="7" customFormat="1" x14ac:dyDescent="0.3">
      <c r="B122" s="31"/>
      <c r="C122" s="31"/>
      <c r="D122" s="53" t="s">
        <v>0</v>
      </c>
      <c r="E122" s="53" t="s">
        <v>1</v>
      </c>
      <c r="F122" s="53" t="s">
        <v>2</v>
      </c>
      <c r="G122" s="53" t="s">
        <v>3</v>
      </c>
      <c r="H122" s="53" t="s">
        <v>4</v>
      </c>
      <c r="I122" s="53" t="s">
        <v>5</v>
      </c>
      <c r="J122" s="53" t="s">
        <v>6</v>
      </c>
      <c r="K122" s="53" t="s">
        <v>7</v>
      </c>
      <c r="L122" s="53" t="s">
        <v>8</v>
      </c>
      <c r="M122" s="53" t="s">
        <v>9</v>
      </c>
      <c r="N122" s="53" t="s">
        <v>10</v>
      </c>
      <c r="O122" s="53" t="s">
        <v>11</v>
      </c>
      <c r="P122" s="53" t="s">
        <v>12</v>
      </c>
      <c r="Q122" s="53" t="s">
        <v>13</v>
      </c>
      <c r="R122" s="53" t="s">
        <v>14</v>
      </c>
      <c r="S122" s="53" t="s">
        <v>15</v>
      </c>
      <c r="T122" s="53" t="s">
        <v>16</v>
      </c>
      <c r="U122" s="53" t="s">
        <v>17</v>
      </c>
      <c r="V122" s="54" t="s">
        <v>18</v>
      </c>
    </row>
    <row r="123" spans="1:22" s="49" customFormat="1" x14ac:dyDescent="0.3">
      <c r="A123" s="46" t="s">
        <v>317</v>
      </c>
      <c r="B123" s="47" t="s">
        <v>60</v>
      </c>
      <c r="C123" s="47" t="s">
        <v>32</v>
      </c>
      <c r="D123" s="48">
        <v>4183</v>
      </c>
      <c r="E123" s="48">
        <v>4063</v>
      </c>
      <c r="F123" s="48">
        <v>4723</v>
      </c>
      <c r="G123" s="48">
        <v>4374</v>
      </c>
      <c r="H123" s="48">
        <v>3846</v>
      </c>
      <c r="I123" s="48">
        <v>3777</v>
      </c>
      <c r="J123" s="48">
        <v>3666</v>
      </c>
      <c r="K123" s="48">
        <v>3650</v>
      </c>
      <c r="L123" s="48">
        <v>3702</v>
      </c>
      <c r="M123" s="48">
        <v>4260</v>
      </c>
      <c r="N123" s="48">
        <v>4371</v>
      </c>
      <c r="O123" s="48">
        <v>3628</v>
      </c>
      <c r="P123" s="48">
        <v>4251</v>
      </c>
      <c r="Q123" s="48">
        <v>4831</v>
      </c>
      <c r="R123" s="48">
        <v>4365</v>
      </c>
      <c r="S123" s="48">
        <v>4427</v>
      </c>
      <c r="T123" s="48">
        <v>4782</v>
      </c>
      <c r="U123" s="48">
        <v>4670</v>
      </c>
      <c r="V123" s="48">
        <v>4807</v>
      </c>
    </row>
    <row r="124" spans="1:22" s="2" customFormat="1" x14ac:dyDescent="0.3">
      <c r="A124" s="15"/>
      <c r="B124" s="1" t="s">
        <v>58</v>
      </c>
      <c r="C124" s="1" t="s">
        <v>33</v>
      </c>
      <c r="D124">
        <v>4348</v>
      </c>
      <c r="E124">
        <v>4421</v>
      </c>
      <c r="F124">
        <v>4827</v>
      </c>
      <c r="G124">
        <v>4919</v>
      </c>
      <c r="H124">
        <v>4829</v>
      </c>
      <c r="I124">
        <v>5059</v>
      </c>
      <c r="J124">
        <v>5274</v>
      </c>
      <c r="K124">
        <v>5417</v>
      </c>
      <c r="L124">
        <v>5380</v>
      </c>
      <c r="M124">
        <v>6190</v>
      </c>
      <c r="N124">
        <v>6622</v>
      </c>
      <c r="O124">
        <v>6134</v>
      </c>
      <c r="P124">
        <v>6813</v>
      </c>
      <c r="Q124">
        <v>7207</v>
      </c>
      <c r="R124">
        <v>7338</v>
      </c>
      <c r="S124">
        <v>7821</v>
      </c>
      <c r="T124">
        <v>8106</v>
      </c>
      <c r="U124">
        <v>8278</v>
      </c>
      <c r="V124">
        <v>9396</v>
      </c>
    </row>
    <row r="125" spans="1:22" s="6" customFormat="1" x14ac:dyDescent="0.3">
      <c r="A125" s="16"/>
      <c r="B125" s="4" t="s">
        <v>34</v>
      </c>
      <c r="D125" s="6">
        <f>D123-D124</f>
        <v>-165</v>
      </c>
      <c r="E125" s="6">
        <f t="shared" ref="E125:V125" si="30">E123-E124</f>
        <v>-358</v>
      </c>
      <c r="F125" s="6">
        <f t="shared" si="30"/>
        <v>-104</v>
      </c>
      <c r="G125" s="6">
        <f t="shared" si="30"/>
        <v>-545</v>
      </c>
      <c r="H125" s="6">
        <f t="shared" si="30"/>
        <v>-983</v>
      </c>
      <c r="I125" s="6">
        <f t="shared" si="30"/>
        <v>-1282</v>
      </c>
      <c r="J125" s="6">
        <f t="shared" si="30"/>
        <v>-1608</v>
      </c>
      <c r="K125" s="6">
        <f t="shared" si="30"/>
        <v>-1767</v>
      </c>
      <c r="L125" s="6">
        <f t="shared" si="30"/>
        <v>-1678</v>
      </c>
      <c r="M125" s="6">
        <f t="shared" si="30"/>
        <v>-1930</v>
      </c>
      <c r="N125" s="6">
        <f t="shared" si="30"/>
        <v>-2251</v>
      </c>
      <c r="O125" s="6">
        <f t="shared" si="30"/>
        <v>-2506</v>
      </c>
      <c r="P125" s="6">
        <f t="shared" si="30"/>
        <v>-2562</v>
      </c>
      <c r="Q125" s="6">
        <f t="shared" si="30"/>
        <v>-2376</v>
      </c>
      <c r="R125" s="6">
        <f t="shared" si="30"/>
        <v>-2973</v>
      </c>
      <c r="S125" s="6">
        <f t="shared" si="30"/>
        <v>-3394</v>
      </c>
      <c r="T125" s="6">
        <f t="shared" si="30"/>
        <v>-3324</v>
      </c>
      <c r="U125" s="6">
        <f t="shared" si="30"/>
        <v>-3608</v>
      </c>
      <c r="V125" s="6">
        <f t="shared" si="30"/>
        <v>-4589</v>
      </c>
    </row>
    <row r="127" spans="1:22" s="2" customFormat="1" x14ac:dyDescent="0.3">
      <c r="A127" s="15"/>
      <c r="B127" s="1" t="s">
        <v>52</v>
      </c>
      <c r="C127" s="1" t="s">
        <v>35</v>
      </c>
      <c r="D127">
        <v>2987</v>
      </c>
      <c r="E127">
        <v>2970</v>
      </c>
      <c r="F127">
        <v>3305</v>
      </c>
      <c r="G127">
        <v>3244</v>
      </c>
      <c r="H127">
        <v>2831</v>
      </c>
      <c r="I127">
        <v>3085</v>
      </c>
      <c r="J127">
        <v>3144</v>
      </c>
      <c r="K127">
        <v>3036</v>
      </c>
      <c r="L127">
        <v>3386</v>
      </c>
      <c r="M127">
        <v>3919</v>
      </c>
      <c r="N127">
        <v>4644</v>
      </c>
      <c r="O127">
        <v>4133</v>
      </c>
      <c r="P127">
        <v>4613</v>
      </c>
      <c r="Q127">
        <v>5278</v>
      </c>
      <c r="R127">
        <v>5452</v>
      </c>
      <c r="S127">
        <v>5253</v>
      </c>
      <c r="T127">
        <v>5434</v>
      </c>
      <c r="U127">
        <v>5491</v>
      </c>
      <c r="V127">
        <v>5516</v>
      </c>
    </row>
    <row r="128" spans="1:22" s="2" customFormat="1" x14ac:dyDescent="0.3">
      <c r="A128" s="15"/>
      <c r="B128" s="1" t="s">
        <v>59</v>
      </c>
      <c r="C128" s="1" t="s">
        <v>36</v>
      </c>
      <c r="D128" s="5">
        <v>3655</v>
      </c>
      <c r="E128" s="5">
        <v>4152</v>
      </c>
      <c r="F128" s="5">
        <v>5251</v>
      </c>
      <c r="G128" s="5">
        <v>4378</v>
      </c>
      <c r="H128" s="5">
        <v>3829</v>
      </c>
      <c r="I128" s="5">
        <v>3927</v>
      </c>
      <c r="J128" s="5">
        <v>4307</v>
      </c>
      <c r="K128" s="5">
        <v>4117</v>
      </c>
      <c r="L128" s="5">
        <v>4888</v>
      </c>
      <c r="M128" s="5">
        <v>5413</v>
      </c>
      <c r="N128" s="5">
        <v>5790</v>
      </c>
      <c r="O128" s="5">
        <v>5481</v>
      </c>
      <c r="P128" s="5">
        <v>6793</v>
      </c>
      <c r="Q128" s="5">
        <v>7461</v>
      </c>
      <c r="R128" s="5">
        <v>7570</v>
      </c>
      <c r="S128" s="5">
        <v>8043</v>
      </c>
      <c r="T128" s="5">
        <v>8571</v>
      </c>
      <c r="U128" s="5">
        <v>9111</v>
      </c>
      <c r="V128" s="5">
        <v>9892</v>
      </c>
    </row>
    <row r="129" spans="1:98" s="6" customFormat="1" x14ac:dyDescent="0.3">
      <c r="A129" s="16"/>
      <c r="B129" s="4" t="s">
        <v>34</v>
      </c>
      <c r="D129" s="6">
        <f>D127-D128</f>
        <v>-668</v>
      </c>
      <c r="E129" s="6">
        <f t="shared" ref="E129:V129" si="31">E127-E128</f>
        <v>-1182</v>
      </c>
      <c r="F129" s="6">
        <f t="shared" si="31"/>
        <v>-1946</v>
      </c>
      <c r="G129" s="6">
        <f t="shared" si="31"/>
        <v>-1134</v>
      </c>
      <c r="H129" s="6">
        <f t="shared" si="31"/>
        <v>-998</v>
      </c>
      <c r="I129" s="6">
        <f t="shared" si="31"/>
        <v>-842</v>
      </c>
      <c r="J129" s="6">
        <f t="shared" si="31"/>
        <v>-1163</v>
      </c>
      <c r="K129" s="6">
        <f t="shared" si="31"/>
        <v>-1081</v>
      </c>
      <c r="L129" s="6">
        <f t="shared" si="31"/>
        <v>-1502</v>
      </c>
      <c r="M129" s="6">
        <f t="shared" si="31"/>
        <v>-1494</v>
      </c>
      <c r="N129" s="6">
        <f t="shared" si="31"/>
        <v>-1146</v>
      </c>
      <c r="O129" s="6">
        <f t="shared" si="31"/>
        <v>-1348</v>
      </c>
      <c r="P129" s="6">
        <f t="shared" si="31"/>
        <v>-2180</v>
      </c>
      <c r="Q129" s="6">
        <f t="shared" si="31"/>
        <v>-2183</v>
      </c>
      <c r="R129" s="6">
        <f t="shared" si="31"/>
        <v>-2118</v>
      </c>
      <c r="S129" s="6">
        <f t="shared" si="31"/>
        <v>-2790</v>
      </c>
      <c r="T129" s="6">
        <f t="shared" si="31"/>
        <v>-3137</v>
      </c>
      <c r="U129" s="6">
        <f t="shared" si="31"/>
        <v>-3620</v>
      </c>
      <c r="V129" s="6">
        <f t="shared" si="31"/>
        <v>-4376</v>
      </c>
    </row>
    <row r="131" spans="1:98" s="7" customFormat="1" x14ac:dyDescent="0.3">
      <c r="A131" s="31" t="s">
        <v>310</v>
      </c>
      <c r="B131" s="31"/>
      <c r="C131" s="13"/>
      <c r="D131" s="53" t="s">
        <v>0</v>
      </c>
      <c r="E131" s="53" t="s">
        <v>1</v>
      </c>
      <c r="F131" s="53" t="s">
        <v>2</v>
      </c>
      <c r="G131" s="53" t="s">
        <v>3</v>
      </c>
      <c r="H131" s="53" t="s">
        <v>4</v>
      </c>
      <c r="I131" s="53" t="s">
        <v>5</v>
      </c>
      <c r="J131" s="53" t="s">
        <v>6</v>
      </c>
      <c r="K131" s="53" t="s">
        <v>7</v>
      </c>
      <c r="L131" s="53" t="s">
        <v>8</v>
      </c>
      <c r="M131" s="53" t="s">
        <v>9</v>
      </c>
      <c r="N131" s="53" t="s">
        <v>10</v>
      </c>
      <c r="O131" s="53" t="s">
        <v>11</v>
      </c>
      <c r="P131" s="53" t="s">
        <v>12</v>
      </c>
      <c r="Q131" s="53" t="s">
        <v>13</v>
      </c>
      <c r="R131" s="53" t="s">
        <v>14</v>
      </c>
      <c r="S131" s="53" t="s">
        <v>15</v>
      </c>
      <c r="T131" s="53" t="s">
        <v>16</v>
      </c>
      <c r="U131" s="53" t="s">
        <v>17</v>
      </c>
      <c r="V131" s="54" t="s">
        <v>18</v>
      </c>
    </row>
    <row r="132" spans="1:98" s="2" customFormat="1" x14ac:dyDescent="0.3">
      <c r="B132" s="4" t="s">
        <v>60</v>
      </c>
      <c r="C132" s="25" t="s">
        <v>318</v>
      </c>
      <c r="D132" s="91">
        <v>1382</v>
      </c>
      <c r="E132" s="91">
        <v>1426</v>
      </c>
      <c r="F132" s="91">
        <v>1390</v>
      </c>
      <c r="G132" s="91">
        <v>1424</v>
      </c>
      <c r="H132" s="91">
        <v>1494</v>
      </c>
      <c r="I132" s="91">
        <v>1648</v>
      </c>
      <c r="J132" s="91">
        <v>1584</v>
      </c>
      <c r="K132" s="91">
        <v>1522</v>
      </c>
      <c r="L132" s="91">
        <v>1605</v>
      </c>
      <c r="M132" s="91">
        <v>1894</v>
      </c>
      <c r="N132" s="91">
        <v>2203</v>
      </c>
      <c r="O132" s="91">
        <v>2376</v>
      </c>
      <c r="P132" s="91">
        <v>2622</v>
      </c>
      <c r="Q132" s="91">
        <v>2943</v>
      </c>
      <c r="R132" s="91">
        <v>2662</v>
      </c>
      <c r="S132" s="91">
        <v>2724</v>
      </c>
      <c r="T132" s="91">
        <v>2607</v>
      </c>
      <c r="U132" s="91">
        <v>2404</v>
      </c>
      <c r="V132" s="91">
        <v>2608</v>
      </c>
    </row>
    <row r="133" spans="1:98" s="2" customFormat="1" x14ac:dyDescent="0.3">
      <c r="B133" s="4" t="s">
        <v>58</v>
      </c>
      <c r="C133" s="26" t="s">
        <v>319</v>
      </c>
      <c r="D133" s="91">
        <v>2192</v>
      </c>
      <c r="E133" s="91">
        <v>2282</v>
      </c>
      <c r="F133" s="91">
        <v>2052</v>
      </c>
      <c r="G133" s="91">
        <v>2137</v>
      </c>
      <c r="H133" s="91">
        <v>2256</v>
      </c>
      <c r="I133" s="91">
        <v>2589</v>
      </c>
      <c r="J133" s="91">
        <v>2669</v>
      </c>
      <c r="K133" s="91">
        <v>2795</v>
      </c>
      <c r="L133" s="91">
        <v>3039</v>
      </c>
      <c r="M133" s="91">
        <v>3244</v>
      </c>
      <c r="N133" s="91">
        <v>3595</v>
      </c>
      <c r="O133" s="91">
        <v>3928</v>
      </c>
      <c r="P133" s="91">
        <v>4070</v>
      </c>
      <c r="Q133" s="91">
        <v>4413</v>
      </c>
      <c r="R133" s="91">
        <v>4532</v>
      </c>
      <c r="S133" s="91">
        <v>4793</v>
      </c>
      <c r="T133" s="91">
        <v>4720</v>
      </c>
      <c r="U133" s="91">
        <v>4612</v>
      </c>
      <c r="V133" s="91">
        <v>4937</v>
      </c>
    </row>
    <row r="134" spans="1:98" s="7" customFormat="1" x14ac:dyDescent="0.3">
      <c r="B134" s="31" t="s">
        <v>34</v>
      </c>
      <c r="C134" s="31"/>
      <c r="D134" s="13">
        <f>D132-D133</f>
        <v>-810</v>
      </c>
      <c r="E134" s="13">
        <f t="shared" ref="E134:V134" si="32">E132-E133</f>
        <v>-856</v>
      </c>
      <c r="F134" s="13">
        <f t="shared" si="32"/>
        <v>-662</v>
      </c>
      <c r="G134" s="13">
        <f t="shared" si="32"/>
        <v>-713</v>
      </c>
      <c r="H134" s="13">
        <f t="shared" si="32"/>
        <v>-762</v>
      </c>
      <c r="I134" s="13">
        <f t="shared" si="32"/>
        <v>-941</v>
      </c>
      <c r="J134" s="13">
        <f t="shared" si="32"/>
        <v>-1085</v>
      </c>
      <c r="K134" s="13">
        <f t="shared" si="32"/>
        <v>-1273</v>
      </c>
      <c r="L134" s="13">
        <f t="shared" si="32"/>
        <v>-1434</v>
      </c>
      <c r="M134" s="13">
        <f t="shared" si="32"/>
        <v>-1350</v>
      </c>
      <c r="N134" s="13">
        <f t="shared" si="32"/>
        <v>-1392</v>
      </c>
      <c r="O134" s="13">
        <f t="shared" si="32"/>
        <v>-1552</v>
      </c>
      <c r="P134" s="13">
        <f t="shared" si="32"/>
        <v>-1448</v>
      </c>
      <c r="Q134" s="13">
        <f t="shared" si="32"/>
        <v>-1470</v>
      </c>
      <c r="R134" s="13">
        <f t="shared" si="32"/>
        <v>-1870</v>
      </c>
      <c r="S134" s="13">
        <f t="shared" si="32"/>
        <v>-2069</v>
      </c>
      <c r="T134" s="13">
        <f t="shared" si="32"/>
        <v>-2113</v>
      </c>
      <c r="U134" s="13">
        <f t="shared" si="32"/>
        <v>-2208</v>
      </c>
      <c r="V134" s="13">
        <f t="shared" si="32"/>
        <v>-2329</v>
      </c>
    </row>
    <row r="135" spans="1:98" s="7" customFormat="1" x14ac:dyDescent="0.3">
      <c r="B135" s="31"/>
      <c r="C135" s="31"/>
      <c r="D135" s="13"/>
      <c r="E135" s="4"/>
      <c r="F135" s="4"/>
      <c r="G135" s="4"/>
      <c r="H135" s="4"/>
      <c r="I135" s="4"/>
      <c r="J135" s="4"/>
      <c r="K135" s="4"/>
      <c r="L135" s="4"/>
      <c r="M135" s="4"/>
      <c r="N135" s="4"/>
      <c r="O135" s="4"/>
      <c r="P135" s="4"/>
      <c r="Q135" s="4"/>
      <c r="R135" s="4"/>
      <c r="S135" s="4"/>
      <c r="T135" s="4"/>
      <c r="U135" s="4"/>
      <c r="V135" s="4"/>
    </row>
    <row r="136" spans="1:98" s="2" customFormat="1" x14ac:dyDescent="0.3">
      <c r="B136" s="4" t="s">
        <v>306</v>
      </c>
      <c r="C136" s="26" t="s">
        <v>320</v>
      </c>
      <c r="D136" s="91">
        <v>1631</v>
      </c>
      <c r="E136" s="91">
        <v>1711</v>
      </c>
      <c r="F136" s="91">
        <v>1807</v>
      </c>
      <c r="G136" s="91">
        <v>1927</v>
      </c>
      <c r="H136" s="91">
        <v>1958</v>
      </c>
      <c r="I136" s="91">
        <v>1978</v>
      </c>
      <c r="J136" s="91">
        <v>1909</v>
      </c>
      <c r="K136" s="91">
        <v>2070</v>
      </c>
      <c r="L136" s="91">
        <v>2189</v>
      </c>
      <c r="M136" s="91">
        <v>2284</v>
      </c>
      <c r="N136" s="91">
        <v>2507</v>
      </c>
      <c r="O136" s="91">
        <v>2733</v>
      </c>
      <c r="P136" s="91">
        <v>3187</v>
      </c>
      <c r="Q136" s="91">
        <v>4128</v>
      </c>
      <c r="R136" s="91">
        <v>4366</v>
      </c>
      <c r="S136" s="91">
        <v>4431</v>
      </c>
      <c r="T136" s="91">
        <v>4206</v>
      </c>
      <c r="U136" s="91">
        <v>4142</v>
      </c>
      <c r="V136" s="91">
        <v>4477</v>
      </c>
    </row>
    <row r="137" spans="1:98" s="2" customFormat="1" x14ac:dyDescent="0.3">
      <c r="B137" s="4" t="s">
        <v>307</v>
      </c>
      <c r="C137" s="1" t="s">
        <v>321</v>
      </c>
      <c r="D137" s="5">
        <v>599</v>
      </c>
      <c r="E137" s="5">
        <v>704</v>
      </c>
      <c r="F137" s="5">
        <v>807</v>
      </c>
      <c r="G137" s="5">
        <v>930</v>
      </c>
      <c r="H137" s="5">
        <v>1023</v>
      </c>
      <c r="I137" s="5">
        <v>1107</v>
      </c>
      <c r="J137" s="5">
        <v>1205</v>
      </c>
      <c r="K137" s="5">
        <v>1182</v>
      </c>
      <c r="L137" s="5">
        <v>1160</v>
      </c>
      <c r="M137" s="5">
        <v>1212</v>
      </c>
      <c r="N137" s="5">
        <v>1275</v>
      </c>
      <c r="O137" s="5">
        <v>1226</v>
      </c>
      <c r="P137" s="5">
        <v>1323</v>
      </c>
      <c r="Q137" s="5">
        <v>1270</v>
      </c>
      <c r="R137" s="5">
        <v>1235</v>
      </c>
      <c r="S137" s="5">
        <v>1266</v>
      </c>
      <c r="T137" s="5">
        <v>1263</v>
      </c>
      <c r="U137" s="5">
        <v>1326</v>
      </c>
      <c r="V137" s="5">
        <v>1371</v>
      </c>
    </row>
    <row r="138" spans="1:98" s="7" customFormat="1" x14ac:dyDescent="0.3">
      <c r="A138" s="31"/>
      <c r="B138" s="31"/>
      <c r="C138" s="13"/>
      <c r="D138" s="4">
        <f>D136-D137</f>
        <v>1032</v>
      </c>
      <c r="E138" s="4">
        <f t="shared" ref="E138:V138" si="33">E136-E137</f>
        <v>1007</v>
      </c>
      <c r="F138" s="4">
        <f t="shared" si="33"/>
        <v>1000</v>
      </c>
      <c r="G138" s="4">
        <f t="shared" si="33"/>
        <v>997</v>
      </c>
      <c r="H138" s="4">
        <f t="shared" si="33"/>
        <v>935</v>
      </c>
      <c r="I138" s="4">
        <f t="shared" si="33"/>
        <v>871</v>
      </c>
      <c r="J138" s="4">
        <f t="shared" si="33"/>
        <v>704</v>
      </c>
      <c r="K138" s="4">
        <f t="shared" si="33"/>
        <v>888</v>
      </c>
      <c r="L138" s="4">
        <f t="shared" si="33"/>
        <v>1029</v>
      </c>
      <c r="M138" s="4">
        <f t="shared" si="33"/>
        <v>1072</v>
      </c>
      <c r="N138" s="4">
        <f t="shared" si="33"/>
        <v>1232</v>
      </c>
      <c r="O138" s="4">
        <f t="shared" si="33"/>
        <v>1507</v>
      </c>
      <c r="P138" s="4">
        <f t="shared" si="33"/>
        <v>1864</v>
      </c>
      <c r="Q138" s="4">
        <f t="shared" si="33"/>
        <v>2858</v>
      </c>
      <c r="R138" s="4">
        <f t="shared" si="33"/>
        <v>3131</v>
      </c>
      <c r="S138" s="4">
        <f t="shared" si="33"/>
        <v>3165</v>
      </c>
      <c r="T138" s="4">
        <f t="shared" si="33"/>
        <v>2943</v>
      </c>
      <c r="U138" s="4">
        <f t="shared" si="33"/>
        <v>2816</v>
      </c>
      <c r="V138" s="4">
        <f t="shared" si="33"/>
        <v>3106</v>
      </c>
    </row>
    <row r="139" spans="1:98" s="7" customFormat="1" x14ac:dyDescent="0.3">
      <c r="A139" s="31"/>
      <c r="B139" s="31"/>
      <c r="C139" s="13"/>
      <c r="D139" s="4"/>
      <c r="E139" s="4"/>
      <c r="F139" s="4"/>
      <c r="G139" s="4"/>
      <c r="H139" s="4"/>
      <c r="I139" s="4"/>
      <c r="J139" s="4"/>
      <c r="K139" s="4"/>
      <c r="L139" s="4"/>
      <c r="M139" s="4"/>
      <c r="N139" s="4"/>
      <c r="O139" s="4"/>
      <c r="P139" s="4"/>
      <c r="Q139" s="4"/>
      <c r="R139" s="4"/>
      <c r="S139" s="4"/>
      <c r="T139" s="4"/>
      <c r="U139" s="4"/>
      <c r="V139" s="31"/>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row>
    <row r="140" spans="1:98" s="2" customFormat="1" x14ac:dyDescent="0.3">
      <c r="A140" s="4"/>
      <c r="B140" s="1"/>
      <c r="C140" s="1"/>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row>
    <row r="141" spans="1:98" s="7" customFormat="1" x14ac:dyDescent="0.3">
      <c r="A141" s="65" t="s">
        <v>134</v>
      </c>
      <c r="B141" s="65" t="s">
        <v>135</v>
      </c>
      <c r="C141" s="4"/>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row>
    <row r="142" spans="1:98" s="2" customFormat="1" x14ac:dyDescent="0.3">
      <c r="A142" s="4"/>
      <c r="B142" s="4"/>
      <c r="C142" s="1"/>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row>
    <row r="143" spans="1:98" s="2" customFormat="1" x14ac:dyDescent="0.3">
      <c r="A143" s="4"/>
      <c r="B143" s="1"/>
      <c r="C143" s="1"/>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row>
    <row r="144" spans="1:98" s="2" customFormat="1" x14ac:dyDescent="0.3">
      <c r="A144" s="4"/>
      <c r="B144" s="1"/>
      <c r="C144" s="1"/>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row>
    <row r="145" spans="1:99" s="7" customFormat="1" x14ac:dyDescent="0.3">
      <c r="A145" s="4"/>
      <c r="B145" s="4"/>
      <c r="C145" s="4"/>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row>
    <row r="146" spans="1:99" s="2" customFormat="1" x14ac:dyDescent="0.3">
      <c r="A146" s="4"/>
      <c r="B146" s="4"/>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row>
    <row r="147" spans="1:99" s="2" customFormat="1" x14ac:dyDescent="0.3">
      <c r="A147" s="4"/>
      <c r="B147" s="1"/>
      <c r="C147" s="25"/>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row>
    <row r="148" spans="1:99" s="2" customFormat="1" x14ac:dyDescent="0.3">
      <c r="A148" s="4"/>
      <c r="B148" s="1"/>
      <c r="C148" s="26"/>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row>
    <row r="149" spans="1:99" s="7" customFormat="1" x14ac:dyDescent="0.3">
      <c r="A149" s="4"/>
      <c r="B149" s="4"/>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row>
    <row r="150" spans="1:99" s="2" customFormat="1" x14ac:dyDescent="0.3">
      <c r="A150" s="4"/>
      <c r="B150" s="4"/>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row>
    <row r="151" spans="1:99" s="2" customFormat="1" x14ac:dyDescent="0.3">
      <c r="A151" s="4"/>
      <c r="B151" s="1"/>
      <c r="C151" s="26"/>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row>
    <row r="152" spans="1:99" s="2" customFormat="1" x14ac:dyDescent="0.3">
      <c r="A152" s="4"/>
      <c r="B152" s="1"/>
      <c r="C152" s="1"/>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row>
    <row r="153" spans="1:99" s="7" customFormat="1" x14ac:dyDescent="0.3">
      <c r="A153" s="4"/>
      <c r="B153" s="4"/>
      <c r="C153" s="4"/>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row>
    <row r="154" spans="1:99" s="2" customFormat="1" x14ac:dyDescent="0.3">
      <c r="A154" s="4"/>
      <c r="B154" s="4"/>
      <c r="C154" s="1"/>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row>
    <row r="155" spans="1:99" s="2" customFormat="1" x14ac:dyDescent="0.3">
      <c r="A155" s="4"/>
      <c r="B155" s="4"/>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row>
    <row r="157" spans="1:99" s="42" customFormat="1" x14ac:dyDescent="0.3">
      <c r="A157" s="41"/>
    </row>
    <row r="158" spans="1:99" s="44" customFormat="1" x14ac:dyDescent="0.3">
      <c r="A158" s="43"/>
    </row>
    <row r="159" spans="1:99" s="2" customFormat="1" x14ac:dyDescent="0.3">
      <c r="A159" s="32"/>
      <c r="B159" s="32"/>
      <c r="C159" s="3"/>
      <c r="D159" s="4"/>
      <c r="E159" s="4"/>
      <c r="F159" s="4"/>
      <c r="G159" s="4"/>
      <c r="H159" s="4"/>
      <c r="I159" s="4"/>
      <c r="J159" s="4"/>
      <c r="K159" s="4"/>
      <c r="L159" s="4"/>
      <c r="M159" s="4"/>
      <c r="N159" s="4"/>
      <c r="O159" s="4"/>
      <c r="P159" s="4"/>
      <c r="Q159" s="4"/>
      <c r="R159" s="4"/>
      <c r="S159" s="4"/>
      <c r="T159" s="4"/>
      <c r="U159" s="4"/>
      <c r="V159" s="31"/>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row>
    <row r="160" spans="1:99" s="7" customFormat="1" x14ac:dyDescent="0.3">
      <c r="A160" s="31"/>
      <c r="B160" s="31"/>
      <c r="C160" s="31"/>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row>
    <row r="161" spans="1:96" s="2" customFormat="1" x14ac:dyDescent="0.3">
      <c r="A161" s="23"/>
      <c r="B161" s="23"/>
      <c r="C161" s="24"/>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row>
    <row r="162" spans="1:96" s="2" customFormat="1" x14ac:dyDescent="0.3">
      <c r="A162" s="23"/>
      <c r="B162" s="23"/>
      <c r="C162" s="30"/>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row>
    <row r="163" spans="1:96" s="2" customFormat="1" x14ac:dyDescent="0.3">
      <c r="A163" s="23"/>
      <c r="B163" s="23"/>
      <c r="C163" s="24"/>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row>
    <row r="164" spans="1:96" s="2" customFormat="1" x14ac:dyDescent="0.3">
      <c r="A164" s="23"/>
      <c r="B164" s="23"/>
      <c r="C164" s="2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row>
    <row r="165" spans="1:96" s="2" customFormat="1" x14ac:dyDescent="0.3">
      <c r="A165" s="23"/>
      <c r="B165" s="23"/>
      <c r="C165" s="30"/>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row>
    <row r="166" spans="1:96" s="2" customFormat="1" x14ac:dyDescent="0.3">
      <c r="A166" s="23"/>
      <c r="B166" s="23"/>
      <c r="C166" s="30"/>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row>
    <row r="167" spans="1:96" s="2" customFormat="1" x14ac:dyDescent="0.3">
      <c r="A167" s="23"/>
      <c r="B167" s="23"/>
      <c r="C167" s="30"/>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row>
    <row r="168" spans="1:96" s="2" customFormat="1" x14ac:dyDescent="0.3">
      <c r="A168" s="23"/>
      <c r="B168" s="23"/>
      <c r="C168" s="30"/>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row>
    <row r="169" spans="1:96" s="2" customFormat="1" x14ac:dyDescent="0.3">
      <c r="A169" s="23"/>
      <c r="B169" s="30"/>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row>
    <row r="170" spans="1:96" s="2" customFormat="1" x14ac:dyDescent="0.3">
      <c r="A170" s="23"/>
      <c r="B170" s="3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row>
    <row r="171" spans="1:96" s="2" customFormat="1" x14ac:dyDescent="0.3">
      <c r="A171" s="14"/>
      <c r="B171" s="23"/>
      <c r="C171" s="24"/>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row>
    <row r="172" spans="1:96" s="2" customFormat="1" x14ac:dyDescent="0.3">
      <c r="A172" s="23"/>
      <c r="B172" s="23"/>
      <c r="C172" s="27"/>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row>
    <row r="173" spans="1:96" x14ac:dyDescent="0.3">
      <c r="B173" s="12"/>
    </row>
    <row r="174" spans="1:96" s="2" customFormat="1" x14ac:dyDescent="0.3">
      <c r="A174" s="23"/>
      <c r="B174" s="1"/>
      <c r="C174" s="25"/>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row>
    <row r="175" spans="1:96" s="2" customFormat="1" x14ac:dyDescent="0.3">
      <c r="A175" s="23"/>
      <c r="B175" s="1"/>
      <c r="C175" s="26"/>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row>
    <row r="176" spans="1:96" s="6" customFormat="1" x14ac:dyDescent="0.3">
      <c r="A176" s="16"/>
      <c r="B176" s="4"/>
    </row>
    <row r="177" spans="1:97" x14ac:dyDescent="0.3">
      <c r="B177" s="4"/>
    </row>
    <row r="178" spans="1:97" s="2" customFormat="1" x14ac:dyDescent="0.3">
      <c r="A178" s="23"/>
      <c r="B178" s="1"/>
      <c r="C178" s="26"/>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row>
    <row r="179" spans="1:97" s="2" customFormat="1" x14ac:dyDescent="0.3">
      <c r="A179" s="23"/>
      <c r="B179" s="1"/>
      <c r="C179" s="1"/>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row>
    <row r="180" spans="1:97" s="6" customFormat="1" x14ac:dyDescent="0.3">
      <c r="A180" s="16"/>
      <c r="B180" s="4"/>
    </row>
    <row r="185" spans="1:97" s="2" customFormat="1" ht="15" customHeight="1" x14ac:dyDescent="0.3">
      <c r="A185" s="14"/>
      <c r="B185" s="1"/>
      <c r="C185" s="1"/>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row>
    <row r="186" spans="1:97" s="2" customFormat="1" x14ac:dyDescent="0.3">
      <c r="A186" s="15"/>
      <c r="B186" s="1"/>
      <c r="C186" s="1"/>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row>
    <row r="187" spans="1:97" s="6" customFormat="1" x14ac:dyDescent="0.3">
      <c r="A187" s="16"/>
      <c r="B187" s="4"/>
    </row>
    <row r="188" spans="1:97" s="6" customFormat="1" x14ac:dyDescent="0.3">
      <c r="A188" s="16"/>
      <c r="B188" s="4"/>
    </row>
    <row r="189" spans="1:97" s="2" customFormat="1" x14ac:dyDescent="0.3">
      <c r="A189" s="15"/>
      <c r="B189" s="1"/>
      <c r="C189" s="1"/>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row>
    <row r="190" spans="1:97" s="2" customFormat="1" x14ac:dyDescent="0.3">
      <c r="A190" s="15"/>
      <c r="B190" s="1"/>
      <c r="C190" s="1"/>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row>
    <row r="191" spans="1:97" s="6" customFormat="1" x14ac:dyDescent="0.3">
      <c r="A191" s="16"/>
      <c r="B191" s="4"/>
    </row>
  </sheetData>
  <mergeCells count="1">
    <mergeCell ref="A3:R3"/>
  </mergeCells>
  <hyperlinks>
    <hyperlink ref="AB16" r:id="rId1" xr:uid="{0FF4F69B-DA83-4511-ADAD-136128DC82CD}"/>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B20AE-25C9-4E90-B417-AAB2C5276E82}">
  <dimension ref="A1:Q119"/>
  <sheetViews>
    <sheetView workbookViewId="0">
      <selection activeCell="A2" sqref="A2"/>
    </sheetView>
  </sheetViews>
  <sheetFormatPr defaultRowHeight="14.4" x14ac:dyDescent="0.3"/>
  <cols>
    <col min="1" max="1" width="3.5546875" style="91" customWidth="1"/>
    <col min="2" max="2" width="42.6640625" style="91" customWidth="1"/>
    <col min="3" max="14" width="8.88671875" style="91"/>
    <col min="15" max="15" width="9.5546875" style="91" bestFit="1" customWidth="1"/>
    <col min="16" max="256" width="8.88671875" style="91"/>
    <col min="257" max="257" width="3.5546875" style="91" customWidth="1"/>
    <col min="258" max="258" width="42.6640625" style="91" customWidth="1"/>
    <col min="259" max="270" width="8.88671875" style="91"/>
    <col min="271" max="271" width="9.5546875" style="91" bestFit="1" customWidth="1"/>
    <col min="272" max="512" width="8.88671875" style="91"/>
    <col min="513" max="513" width="3.5546875" style="91" customWidth="1"/>
    <col min="514" max="514" width="42.6640625" style="91" customWidth="1"/>
    <col min="515" max="526" width="8.88671875" style="91"/>
    <col min="527" max="527" width="9.5546875" style="91" bestFit="1" customWidth="1"/>
    <col min="528" max="768" width="8.88671875" style="91"/>
    <col min="769" max="769" width="3.5546875" style="91" customWidth="1"/>
    <col min="770" max="770" width="42.6640625" style="91" customWidth="1"/>
    <col min="771" max="782" width="8.88671875" style="91"/>
    <col min="783" max="783" width="9.5546875" style="91" bestFit="1" customWidth="1"/>
    <col min="784" max="1024" width="8.88671875" style="91"/>
    <col min="1025" max="1025" width="3.5546875" style="91" customWidth="1"/>
    <col min="1026" max="1026" width="42.6640625" style="91" customWidth="1"/>
    <col min="1027" max="1038" width="8.88671875" style="91"/>
    <col min="1039" max="1039" width="9.5546875" style="91" bestFit="1" customWidth="1"/>
    <col min="1040" max="1280" width="8.88671875" style="91"/>
    <col min="1281" max="1281" width="3.5546875" style="91" customWidth="1"/>
    <col min="1282" max="1282" width="42.6640625" style="91" customWidth="1"/>
    <col min="1283" max="1294" width="8.88671875" style="91"/>
    <col min="1295" max="1295" width="9.5546875" style="91" bestFit="1" customWidth="1"/>
    <col min="1296" max="1536" width="8.88671875" style="91"/>
    <col min="1537" max="1537" width="3.5546875" style="91" customWidth="1"/>
    <col min="1538" max="1538" width="42.6640625" style="91" customWidth="1"/>
    <col min="1539" max="1550" width="8.88671875" style="91"/>
    <col min="1551" max="1551" width="9.5546875" style="91" bestFit="1" customWidth="1"/>
    <col min="1552" max="1792" width="8.88671875" style="91"/>
    <col min="1793" max="1793" width="3.5546875" style="91" customWidth="1"/>
    <col min="1794" max="1794" width="42.6640625" style="91" customWidth="1"/>
    <col min="1795" max="1806" width="8.88671875" style="91"/>
    <col min="1807" max="1807" width="9.5546875" style="91" bestFit="1" customWidth="1"/>
    <col min="1808" max="2048" width="8.88671875" style="91"/>
    <col min="2049" max="2049" width="3.5546875" style="91" customWidth="1"/>
    <col min="2050" max="2050" width="42.6640625" style="91" customWidth="1"/>
    <col min="2051" max="2062" width="8.88671875" style="91"/>
    <col min="2063" max="2063" width="9.5546875" style="91" bestFit="1" customWidth="1"/>
    <col min="2064" max="2304" width="8.88671875" style="91"/>
    <col min="2305" max="2305" width="3.5546875" style="91" customWidth="1"/>
    <col min="2306" max="2306" width="42.6640625" style="91" customWidth="1"/>
    <col min="2307" max="2318" width="8.88671875" style="91"/>
    <col min="2319" max="2319" width="9.5546875" style="91" bestFit="1" customWidth="1"/>
    <col min="2320" max="2560" width="8.88671875" style="91"/>
    <col min="2561" max="2561" width="3.5546875" style="91" customWidth="1"/>
    <col min="2562" max="2562" width="42.6640625" style="91" customWidth="1"/>
    <col min="2563" max="2574" width="8.88671875" style="91"/>
    <col min="2575" max="2575" width="9.5546875" style="91" bestFit="1" customWidth="1"/>
    <col min="2576" max="2816" width="8.88671875" style="91"/>
    <col min="2817" max="2817" width="3.5546875" style="91" customWidth="1"/>
    <col min="2818" max="2818" width="42.6640625" style="91" customWidth="1"/>
    <col min="2819" max="2830" width="8.88671875" style="91"/>
    <col min="2831" max="2831" width="9.5546875" style="91" bestFit="1" customWidth="1"/>
    <col min="2832" max="3072" width="8.88671875" style="91"/>
    <col min="3073" max="3073" width="3.5546875" style="91" customWidth="1"/>
    <col min="3074" max="3074" width="42.6640625" style="91" customWidth="1"/>
    <col min="3075" max="3086" width="8.88671875" style="91"/>
    <col min="3087" max="3087" width="9.5546875" style="91" bestFit="1" customWidth="1"/>
    <col min="3088" max="3328" width="8.88671875" style="91"/>
    <col min="3329" max="3329" width="3.5546875" style="91" customWidth="1"/>
    <col min="3330" max="3330" width="42.6640625" style="91" customWidth="1"/>
    <col min="3331" max="3342" width="8.88671875" style="91"/>
    <col min="3343" max="3343" width="9.5546875" style="91" bestFit="1" customWidth="1"/>
    <col min="3344" max="3584" width="8.88671875" style="91"/>
    <col min="3585" max="3585" width="3.5546875" style="91" customWidth="1"/>
    <col min="3586" max="3586" width="42.6640625" style="91" customWidth="1"/>
    <col min="3587" max="3598" width="8.88671875" style="91"/>
    <col min="3599" max="3599" width="9.5546875" style="91" bestFit="1" customWidth="1"/>
    <col min="3600" max="3840" width="8.88671875" style="91"/>
    <col min="3841" max="3841" width="3.5546875" style="91" customWidth="1"/>
    <col min="3842" max="3842" width="42.6640625" style="91" customWidth="1"/>
    <col min="3843" max="3854" width="8.88671875" style="91"/>
    <col min="3855" max="3855" width="9.5546875" style="91" bestFit="1" customWidth="1"/>
    <col min="3856" max="4096" width="8.88671875" style="91"/>
    <col min="4097" max="4097" width="3.5546875" style="91" customWidth="1"/>
    <col min="4098" max="4098" width="42.6640625" style="91" customWidth="1"/>
    <col min="4099" max="4110" width="8.88671875" style="91"/>
    <col min="4111" max="4111" width="9.5546875" style="91" bestFit="1" customWidth="1"/>
    <col min="4112" max="4352" width="8.88671875" style="91"/>
    <col min="4353" max="4353" width="3.5546875" style="91" customWidth="1"/>
    <col min="4354" max="4354" width="42.6640625" style="91" customWidth="1"/>
    <col min="4355" max="4366" width="8.88671875" style="91"/>
    <col min="4367" max="4367" width="9.5546875" style="91" bestFit="1" customWidth="1"/>
    <col min="4368" max="4608" width="8.88671875" style="91"/>
    <col min="4609" max="4609" width="3.5546875" style="91" customWidth="1"/>
    <col min="4610" max="4610" width="42.6640625" style="91" customWidth="1"/>
    <col min="4611" max="4622" width="8.88671875" style="91"/>
    <col min="4623" max="4623" width="9.5546875" style="91" bestFit="1" customWidth="1"/>
    <col min="4624" max="4864" width="8.88671875" style="91"/>
    <col min="4865" max="4865" width="3.5546875" style="91" customWidth="1"/>
    <col min="4866" max="4866" width="42.6640625" style="91" customWidth="1"/>
    <col min="4867" max="4878" width="8.88671875" style="91"/>
    <col min="4879" max="4879" width="9.5546875" style="91" bestFit="1" customWidth="1"/>
    <col min="4880" max="5120" width="8.88671875" style="91"/>
    <col min="5121" max="5121" width="3.5546875" style="91" customWidth="1"/>
    <col min="5122" max="5122" width="42.6640625" style="91" customWidth="1"/>
    <col min="5123" max="5134" width="8.88671875" style="91"/>
    <col min="5135" max="5135" width="9.5546875" style="91" bestFit="1" customWidth="1"/>
    <col min="5136" max="5376" width="8.88671875" style="91"/>
    <col min="5377" max="5377" width="3.5546875" style="91" customWidth="1"/>
    <col min="5378" max="5378" width="42.6640625" style="91" customWidth="1"/>
    <col min="5379" max="5390" width="8.88671875" style="91"/>
    <col min="5391" max="5391" width="9.5546875" style="91" bestFit="1" customWidth="1"/>
    <col min="5392" max="5632" width="8.88671875" style="91"/>
    <col min="5633" max="5633" width="3.5546875" style="91" customWidth="1"/>
    <col min="5634" max="5634" width="42.6640625" style="91" customWidth="1"/>
    <col min="5635" max="5646" width="8.88671875" style="91"/>
    <col min="5647" max="5647" width="9.5546875" style="91" bestFit="1" customWidth="1"/>
    <col min="5648" max="5888" width="8.88671875" style="91"/>
    <col min="5889" max="5889" width="3.5546875" style="91" customWidth="1"/>
    <col min="5890" max="5890" width="42.6640625" style="91" customWidth="1"/>
    <col min="5891" max="5902" width="8.88671875" style="91"/>
    <col min="5903" max="5903" width="9.5546875" style="91" bestFit="1" customWidth="1"/>
    <col min="5904" max="6144" width="8.88671875" style="91"/>
    <col min="6145" max="6145" width="3.5546875" style="91" customWidth="1"/>
    <col min="6146" max="6146" width="42.6640625" style="91" customWidth="1"/>
    <col min="6147" max="6158" width="8.88671875" style="91"/>
    <col min="6159" max="6159" width="9.5546875" style="91" bestFit="1" customWidth="1"/>
    <col min="6160" max="6400" width="8.88671875" style="91"/>
    <col min="6401" max="6401" width="3.5546875" style="91" customWidth="1"/>
    <col min="6402" max="6402" width="42.6640625" style="91" customWidth="1"/>
    <col min="6403" max="6414" width="8.88671875" style="91"/>
    <col min="6415" max="6415" width="9.5546875" style="91" bestFit="1" customWidth="1"/>
    <col min="6416" max="6656" width="8.88671875" style="91"/>
    <col min="6657" max="6657" width="3.5546875" style="91" customWidth="1"/>
    <col min="6658" max="6658" width="42.6640625" style="91" customWidth="1"/>
    <col min="6659" max="6670" width="8.88671875" style="91"/>
    <col min="6671" max="6671" width="9.5546875" style="91" bestFit="1" customWidth="1"/>
    <col min="6672" max="6912" width="8.88671875" style="91"/>
    <col min="6913" max="6913" width="3.5546875" style="91" customWidth="1"/>
    <col min="6914" max="6914" width="42.6640625" style="91" customWidth="1"/>
    <col min="6915" max="6926" width="8.88671875" style="91"/>
    <col min="6927" max="6927" width="9.5546875" style="91" bestFit="1" customWidth="1"/>
    <col min="6928" max="7168" width="8.88671875" style="91"/>
    <col min="7169" max="7169" width="3.5546875" style="91" customWidth="1"/>
    <col min="7170" max="7170" width="42.6640625" style="91" customWidth="1"/>
    <col min="7171" max="7182" width="8.88671875" style="91"/>
    <col min="7183" max="7183" width="9.5546875" style="91" bestFit="1" customWidth="1"/>
    <col min="7184" max="7424" width="8.88671875" style="91"/>
    <col min="7425" max="7425" width="3.5546875" style="91" customWidth="1"/>
    <col min="7426" max="7426" width="42.6640625" style="91" customWidth="1"/>
    <col min="7427" max="7438" width="8.88671875" style="91"/>
    <col min="7439" max="7439" width="9.5546875" style="91" bestFit="1" customWidth="1"/>
    <col min="7440" max="7680" width="8.88671875" style="91"/>
    <col min="7681" max="7681" width="3.5546875" style="91" customWidth="1"/>
    <col min="7682" max="7682" width="42.6640625" style="91" customWidth="1"/>
    <col min="7683" max="7694" width="8.88671875" style="91"/>
    <col min="7695" max="7695" width="9.5546875" style="91" bestFit="1" customWidth="1"/>
    <col min="7696" max="7936" width="8.88671875" style="91"/>
    <col min="7937" max="7937" width="3.5546875" style="91" customWidth="1"/>
    <col min="7938" max="7938" width="42.6640625" style="91" customWidth="1"/>
    <col min="7939" max="7950" width="8.88671875" style="91"/>
    <col min="7951" max="7951" width="9.5546875" style="91" bestFit="1" customWidth="1"/>
    <col min="7952" max="8192" width="8.88671875" style="91"/>
    <col min="8193" max="8193" width="3.5546875" style="91" customWidth="1"/>
    <col min="8194" max="8194" width="42.6640625" style="91" customWidth="1"/>
    <col min="8195" max="8206" width="8.88671875" style="91"/>
    <col min="8207" max="8207" width="9.5546875" style="91" bestFit="1" customWidth="1"/>
    <col min="8208" max="8448" width="8.88671875" style="91"/>
    <col min="8449" max="8449" width="3.5546875" style="91" customWidth="1"/>
    <col min="8450" max="8450" width="42.6640625" style="91" customWidth="1"/>
    <col min="8451" max="8462" width="8.88671875" style="91"/>
    <col min="8463" max="8463" width="9.5546875" style="91" bestFit="1" customWidth="1"/>
    <col min="8464" max="8704" width="8.88671875" style="91"/>
    <col min="8705" max="8705" width="3.5546875" style="91" customWidth="1"/>
    <col min="8706" max="8706" width="42.6640625" style="91" customWidth="1"/>
    <col min="8707" max="8718" width="8.88671875" style="91"/>
    <col min="8719" max="8719" width="9.5546875" style="91" bestFit="1" customWidth="1"/>
    <col min="8720" max="8960" width="8.88671875" style="91"/>
    <col min="8961" max="8961" width="3.5546875" style="91" customWidth="1"/>
    <col min="8962" max="8962" width="42.6640625" style="91" customWidth="1"/>
    <col min="8963" max="8974" width="8.88671875" style="91"/>
    <col min="8975" max="8975" width="9.5546875" style="91" bestFit="1" customWidth="1"/>
    <col min="8976" max="9216" width="8.88671875" style="91"/>
    <col min="9217" max="9217" width="3.5546875" style="91" customWidth="1"/>
    <col min="9218" max="9218" width="42.6640625" style="91" customWidth="1"/>
    <col min="9219" max="9230" width="8.88671875" style="91"/>
    <col min="9231" max="9231" width="9.5546875" style="91" bestFit="1" customWidth="1"/>
    <col min="9232" max="9472" width="8.88671875" style="91"/>
    <col min="9473" max="9473" width="3.5546875" style="91" customWidth="1"/>
    <col min="9474" max="9474" width="42.6640625" style="91" customWidth="1"/>
    <col min="9475" max="9486" width="8.88671875" style="91"/>
    <col min="9487" max="9487" width="9.5546875" style="91" bestFit="1" customWidth="1"/>
    <col min="9488" max="9728" width="8.88671875" style="91"/>
    <col min="9729" max="9729" width="3.5546875" style="91" customWidth="1"/>
    <col min="9730" max="9730" width="42.6640625" style="91" customWidth="1"/>
    <col min="9731" max="9742" width="8.88671875" style="91"/>
    <col min="9743" max="9743" width="9.5546875" style="91" bestFit="1" customWidth="1"/>
    <col min="9744" max="9984" width="8.88671875" style="91"/>
    <col min="9985" max="9985" width="3.5546875" style="91" customWidth="1"/>
    <col min="9986" max="9986" width="42.6640625" style="91" customWidth="1"/>
    <col min="9987" max="9998" width="8.88671875" style="91"/>
    <col min="9999" max="9999" width="9.5546875" style="91" bestFit="1" customWidth="1"/>
    <col min="10000" max="10240" width="8.88671875" style="91"/>
    <col min="10241" max="10241" width="3.5546875" style="91" customWidth="1"/>
    <col min="10242" max="10242" width="42.6640625" style="91" customWidth="1"/>
    <col min="10243" max="10254" width="8.88671875" style="91"/>
    <col min="10255" max="10255" width="9.5546875" style="91" bestFit="1" customWidth="1"/>
    <col min="10256" max="10496" width="8.88671875" style="91"/>
    <col min="10497" max="10497" width="3.5546875" style="91" customWidth="1"/>
    <col min="10498" max="10498" width="42.6640625" style="91" customWidth="1"/>
    <col min="10499" max="10510" width="8.88671875" style="91"/>
    <col min="10511" max="10511" width="9.5546875" style="91" bestFit="1" customWidth="1"/>
    <col min="10512" max="10752" width="8.88671875" style="91"/>
    <col min="10753" max="10753" width="3.5546875" style="91" customWidth="1"/>
    <col min="10754" max="10754" width="42.6640625" style="91" customWidth="1"/>
    <col min="10755" max="10766" width="8.88671875" style="91"/>
    <col min="10767" max="10767" width="9.5546875" style="91" bestFit="1" customWidth="1"/>
    <col min="10768" max="11008" width="8.88671875" style="91"/>
    <col min="11009" max="11009" width="3.5546875" style="91" customWidth="1"/>
    <col min="11010" max="11010" width="42.6640625" style="91" customWidth="1"/>
    <col min="11011" max="11022" width="8.88671875" style="91"/>
    <col min="11023" max="11023" width="9.5546875" style="91" bestFit="1" customWidth="1"/>
    <col min="11024" max="11264" width="8.88671875" style="91"/>
    <col min="11265" max="11265" width="3.5546875" style="91" customWidth="1"/>
    <col min="11266" max="11266" width="42.6640625" style="91" customWidth="1"/>
    <col min="11267" max="11278" width="8.88671875" style="91"/>
    <col min="11279" max="11279" width="9.5546875" style="91" bestFit="1" customWidth="1"/>
    <col min="11280" max="11520" width="8.88671875" style="91"/>
    <col min="11521" max="11521" width="3.5546875" style="91" customWidth="1"/>
    <col min="11522" max="11522" width="42.6640625" style="91" customWidth="1"/>
    <col min="11523" max="11534" width="8.88671875" style="91"/>
    <col min="11535" max="11535" width="9.5546875" style="91" bestFit="1" customWidth="1"/>
    <col min="11536" max="11776" width="8.88671875" style="91"/>
    <col min="11777" max="11777" width="3.5546875" style="91" customWidth="1"/>
    <col min="11778" max="11778" width="42.6640625" style="91" customWidth="1"/>
    <col min="11779" max="11790" width="8.88671875" style="91"/>
    <col min="11791" max="11791" width="9.5546875" style="91" bestFit="1" customWidth="1"/>
    <col min="11792" max="12032" width="8.88671875" style="91"/>
    <col min="12033" max="12033" width="3.5546875" style="91" customWidth="1"/>
    <col min="12034" max="12034" width="42.6640625" style="91" customWidth="1"/>
    <col min="12035" max="12046" width="8.88671875" style="91"/>
    <col min="12047" max="12047" width="9.5546875" style="91" bestFit="1" customWidth="1"/>
    <col min="12048" max="12288" width="8.88671875" style="91"/>
    <col min="12289" max="12289" width="3.5546875" style="91" customWidth="1"/>
    <col min="12290" max="12290" width="42.6640625" style="91" customWidth="1"/>
    <col min="12291" max="12302" width="8.88671875" style="91"/>
    <col min="12303" max="12303" width="9.5546875" style="91" bestFit="1" customWidth="1"/>
    <col min="12304" max="12544" width="8.88671875" style="91"/>
    <col min="12545" max="12545" width="3.5546875" style="91" customWidth="1"/>
    <col min="12546" max="12546" width="42.6640625" style="91" customWidth="1"/>
    <col min="12547" max="12558" width="8.88671875" style="91"/>
    <col min="12559" max="12559" width="9.5546875" style="91" bestFit="1" customWidth="1"/>
    <col min="12560" max="12800" width="8.88671875" style="91"/>
    <col min="12801" max="12801" width="3.5546875" style="91" customWidth="1"/>
    <col min="12802" max="12802" width="42.6640625" style="91" customWidth="1"/>
    <col min="12803" max="12814" width="8.88671875" style="91"/>
    <col min="12815" max="12815" width="9.5546875" style="91" bestFit="1" customWidth="1"/>
    <col min="12816" max="13056" width="8.88671875" style="91"/>
    <col min="13057" max="13057" width="3.5546875" style="91" customWidth="1"/>
    <col min="13058" max="13058" width="42.6640625" style="91" customWidth="1"/>
    <col min="13059" max="13070" width="8.88671875" style="91"/>
    <col min="13071" max="13071" width="9.5546875" style="91" bestFit="1" customWidth="1"/>
    <col min="13072" max="13312" width="8.88671875" style="91"/>
    <col min="13313" max="13313" width="3.5546875" style="91" customWidth="1"/>
    <col min="13314" max="13314" width="42.6640625" style="91" customWidth="1"/>
    <col min="13315" max="13326" width="8.88671875" style="91"/>
    <col min="13327" max="13327" width="9.5546875" style="91" bestFit="1" customWidth="1"/>
    <col min="13328" max="13568" width="8.88671875" style="91"/>
    <col min="13569" max="13569" width="3.5546875" style="91" customWidth="1"/>
    <col min="13570" max="13570" width="42.6640625" style="91" customWidth="1"/>
    <col min="13571" max="13582" width="8.88671875" style="91"/>
    <col min="13583" max="13583" width="9.5546875" style="91" bestFit="1" customWidth="1"/>
    <col min="13584" max="13824" width="8.88671875" style="91"/>
    <col min="13825" max="13825" width="3.5546875" style="91" customWidth="1"/>
    <col min="13826" max="13826" width="42.6640625" style="91" customWidth="1"/>
    <col min="13827" max="13838" width="8.88671875" style="91"/>
    <col min="13839" max="13839" width="9.5546875" style="91" bestFit="1" customWidth="1"/>
    <col min="13840" max="14080" width="8.88671875" style="91"/>
    <col min="14081" max="14081" width="3.5546875" style="91" customWidth="1"/>
    <col min="14082" max="14082" width="42.6640625" style="91" customWidth="1"/>
    <col min="14083" max="14094" width="8.88671875" style="91"/>
    <col min="14095" max="14095" width="9.5546875" style="91" bestFit="1" customWidth="1"/>
    <col min="14096" max="14336" width="8.88671875" style="91"/>
    <col min="14337" max="14337" width="3.5546875" style="91" customWidth="1"/>
    <col min="14338" max="14338" width="42.6640625" style="91" customWidth="1"/>
    <col min="14339" max="14350" width="8.88671875" style="91"/>
    <col min="14351" max="14351" width="9.5546875" style="91" bestFit="1" customWidth="1"/>
    <col min="14352" max="14592" width="8.88671875" style="91"/>
    <col min="14593" max="14593" width="3.5546875" style="91" customWidth="1"/>
    <col min="14594" max="14594" width="42.6640625" style="91" customWidth="1"/>
    <col min="14595" max="14606" width="8.88671875" style="91"/>
    <col min="14607" max="14607" width="9.5546875" style="91" bestFit="1" customWidth="1"/>
    <col min="14608" max="14848" width="8.88671875" style="91"/>
    <col min="14849" max="14849" width="3.5546875" style="91" customWidth="1"/>
    <col min="14850" max="14850" width="42.6640625" style="91" customWidth="1"/>
    <col min="14851" max="14862" width="8.88671875" style="91"/>
    <col min="14863" max="14863" width="9.5546875" style="91" bestFit="1" customWidth="1"/>
    <col min="14864" max="15104" width="8.88671875" style="91"/>
    <col min="15105" max="15105" width="3.5546875" style="91" customWidth="1"/>
    <col min="15106" max="15106" width="42.6640625" style="91" customWidth="1"/>
    <col min="15107" max="15118" width="8.88671875" style="91"/>
    <col min="15119" max="15119" width="9.5546875" style="91" bestFit="1" customWidth="1"/>
    <col min="15120" max="15360" width="8.88671875" style="91"/>
    <col min="15361" max="15361" width="3.5546875" style="91" customWidth="1"/>
    <col min="15362" max="15362" width="42.6640625" style="91" customWidth="1"/>
    <col min="15363" max="15374" width="8.88671875" style="91"/>
    <col min="15375" max="15375" width="9.5546875" style="91" bestFit="1" customWidth="1"/>
    <col min="15376" max="15616" width="8.88671875" style="91"/>
    <col min="15617" max="15617" width="3.5546875" style="91" customWidth="1"/>
    <col min="15618" max="15618" width="42.6640625" style="91" customWidth="1"/>
    <col min="15619" max="15630" width="8.88671875" style="91"/>
    <col min="15631" max="15631" width="9.5546875" style="91" bestFit="1" customWidth="1"/>
    <col min="15632" max="15872" width="8.88671875" style="91"/>
    <col min="15873" max="15873" width="3.5546875" style="91" customWidth="1"/>
    <col min="15874" max="15874" width="42.6640625" style="91" customWidth="1"/>
    <col min="15875" max="15886" width="8.88671875" style="91"/>
    <col min="15887" max="15887" width="9.5546875" style="91" bestFit="1" customWidth="1"/>
    <col min="15888" max="16128" width="8.88671875" style="91"/>
    <col min="16129" max="16129" width="3.5546875" style="91" customWidth="1"/>
    <col min="16130" max="16130" width="42.6640625" style="91" customWidth="1"/>
    <col min="16131" max="16142" width="8.88671875" style="91"/>
    <col min="16143" max="16143" width="9.5546875" style="91" bestFit="1" customWidth="1"/>
    <col min="16144" max="16384" width="8.88671875" style="91"/>
  </cols>
  <sheetData>
    <row r="1" spans="1:17" ht="21" x14ac:dyDescent="0.4">
      <c r="A1" s="272" t="s">
        <v>356</v>
      </c>
      <c r="C1" s="272"/>
    </row>
    <row r="2" spans="1:17" ht="15" thickBot="1" x14ac:dyDescent="0.35">
      <c r="A2" s="273" t="s">
        <v>447</v>
      </c>
      <c r="B2" s="273"/>
      <c r="C2" s="273"/>
      <c r="D2" s="273"/>
      <c r="E2" s="273"/>
      <c r="F2" s="273"/>
      <c r="G2" s="273"/>
      <c r="H2" s="273"/>
      <c r="I2" s="273"/>
      <c r="J2" s="273"/>
      <c r="K2" s="273"/>
      <c r="L2" s="273"/>
      <c r="M2" s="273"/>
      <c r="N2" s="273"/>
      <c r="O2" s="273" t="s">
        <v>357</v>
      </c>
    </row>
    <row r="3" spans="1:17" x14ac:dyDescent="0.3">
      <c r="C3" s="25" t="s">
        <v>151</v>
      </c>
      <c r="D3" s="25" t="s">
        <v>151</v>
      </c>
      <c r="E3" s="25" t="s">
        <v>151</v>
      </c>
      <c r="F3" s="25" t="s">
        <v>151</v>
      </c>
      <c r="G3" s="25" t="s">
        <v>151</v>
      </c>
      <c r="H3" s="25" t="s">
        <v>151</v>
      </c>
      <c r="I3" s="25" t="s">
        <v>151</v>
      </c>
      <c r="J3" s="25" t="s">
        <v>151</v>
      </c>
      <c r="K3" s="25" t="s">
        <v>358</v>
      </c>
      <c r="L3" s="25" t="s">
        <v>151</v>
      </c>
      <c r="N3" s="25" t="s">
        <v>151</v>
      </c>
    </row>
    <row r="4" spans="1:17" x14ac:dyDescent="0.3">
      <c r="C4" s="25" t="s">
        <v>151</v>
      </c>
      <c r="D4" s="25" t="s">
        <v>151</v>
      </c>
      <c r="E4" s="25" t="s">
        <v>151</v>
      </c>
      <c r="F4" s="25" t="s">
        <v>151</v>
      </c>
      <c r="G4" s="25" t="s">
        <v>151</v>
      </c>
      <c r="I4" s="25" t="s">
        <v>151</v>
      </c>
      <c r="K4" s="25" t="s">
        <v>359</v>
      </c>
      <c r="N4" s="25" t="s">
        <v>151</v>
      </c>
    </row>
    <row r="5" spans="1:17" x14ac:dyDescent="0.3">
      <c r="K5" s="25" t="s">
        <v>360</v>
      </c>
      <c r="M5" s="25" t="s">
        <v>361</v>
      </c>
    </row>
    <row r="6" spans="1:17" x14ac:dyDescent="0.3">
      <c r="K6" s="25" t="s">
        <v>362</v>
      </c>
      <c r="L6" s="25" t="s">
        <v>363</v>
      </c>
      <c r="M6" s="25" t="s">
        <v>364</v>
      </c>
    </row>
    <row r="7" spans="1:17" x14ac:dyDescent="0.3">
      <c r="C7" s="25" t="s">
        <v>365</v>
      </c>
      <c r="D7" s="25" t="s">
        <v>366</v>
      </c>
      <c r="E7" s="25" t="s">
        <v>367</v>
      </c>
      <c r="F7" s="25" t="s">
        <v>151</v>
      </c>
      <c r="G7" s="25" t="s">
        <v>151</v>
      </c>
      <c r="H7" s="25" t="s">
        <v>368</v>
      </c>
      <c r="I7" s="25" t="s">
        <v>151</v>
      </c>
      <c r="J7" s="25" t="s">
        <v>369</v>
      </c>
      <c r="K7" s="25" t="s">
        <v>370</v>
      </c>
      <c r="L7" s="25" t="s">
        <v>371</v>
      </c>
      <c r="M7" s="25" t="s">
        <v>372</v>
      </c>
      <c r="N7" s="25" t="s">
        <v>151</v>
      </c>
    </row>
    <row r="8" spans="1:17" x14ac:dyDescent="0.3">
      <c r="C8" s="25" t="s">
        <v>373</v>
      </c>
      <c r="D8" s="25" t="s">
        <v>374</v>
      </c>
      <c r="E8" s="25" t="s">
        <v>375</v>
      </c>
      <c r="G8" s="25" t="s">
        <v>376</v>
      </c>
      <c r="H8" s="25" t="s">
        <v>377</v>
      </c>
      <c r="I8" s="25" t="s">
        <v>378</v>
      </c>
      <c r="J8" s="25" t="s">
        <v>379</v>
      </c>
      <c r="K8" s="25" t="s">
        <v>380</v>
      </c>
      <c r="L8" s="25" t="s">
        <v>381</v>
      </c>
      <c r="M8" s="25" t="s">
        <v>382</v>
      </c>
      <c r="N8" s="25" t="s">
        <v>383</v>
      </c>
      <c r="O8" s="25" t="s">
        <v>384</v>
      </c>
    </row>
    <row r="9" spans="1:17" x14ac:dyDescent="0.3">
      <c r="A9" s="274"/>
      <c r="B9" s="274"/>
      <c r="C9" s="274" t="s">
        <v>385</v>
      </c>
      <c r="D9" s="274" t="s">
        <v>386</v>
      </c>
      <c r="E9" s="274" t="s">
        <v>387</v>
      </c>
      <c r="F9" s="274" t="s">
        <v>138</v>
      </c>
      <c r="G9" s="274" t="s">
        <v>388</v>
      </c>
      <c r="H9" s="274" t="s">
        <v>389</v>
      </c>
      <c r="I9" s="274" t="s">
        <v>390</v>
      </c>
      <c r="J9" s="274" t="s">
        <v>391</v>
      </c>
      <c r="K9" s="274" t="s">
        <v>392</v>
      </c>
      <c r="L9" s="274" t="s">
        <v>393</v>
      </c>
      <c r="M9" s="274" t="s">
        <v>394</v>
      </c>
      <c r="N9" s="274" t="s">
        <v>395</v>
      </c>
      <c r="O9" s="274" t="s">
        <v>393</v>
      </c>
    </row>
    <row r="10" spans="1:17" x14ac:dyDescent="0.3">
      <c r="A10" s="275" t="s">
        <v>96</v>
      </c>
    </row>
    <row r="11" spans="1:17" x14ac:dyDescent="0.3">
      <c r="A11" s="275"/>
      <c r="B11" s="276" t="s">
        <v>396</v>
      </c>
      <c r="C11" s="277" t="s">
        <v>397</v>
      </c>
      <c r="D11" s="277" t="s">
        <v>397</v>
      </c>
      <c r="E11" s="278">
        <v>5572</v>
      </c>
      <c r="F11" s="278">
        <v>14762</v>
      </c>
      <c r="G11" s="278">
        <v>822</v>
      </c>
      <c r="H11" s="278">
        <v>1701</v>
      </c>
      <c r="I11" s="278">
        <v>27021</v>
      </c>
      <c r="J11" s="278">
        <v>4915</v>
      </c>
      <c r="K11" s="278">
        <v>8395</v>
      </c>
      <c r="L11" s="278">
        <v>23673</v>
      </c>
      <c r="M11" s="278">
        <v>1048</v>
      </c>
      <c r="N11" s="278">
        <v>540</v>
      </c>
      <c r="O11" s="278">
        <v>90367</v>
      </c>
      <c r="Q11" s="279">
        <f>SUM(E11:N11)</f>
        <v>88449</v>
      </c>
    </row>
    <row r="12" spans="1:17" x14ac:dyDescent="0.3">
      <c r="A12" s="275"/>
      <c r="B12" s="280" t="s">
        <v>398</v>
      </c>
      <c r="C12" s="277" t="s">
        <v>397</v>
      </c>
      <c r="D12" s="277" t="s">
        <v>397</v>
      </c>
      <c r="E12" s="278">
        <v>657</v>
      </c>
      <c r="F12" s="278">
        <v>369</v>
      </c>
      <c r="G12" s="278" t="s">
        <v>397</v>
      </c>
      <c r="H12" s="278">
        <v>54</v>
      </c>
      <c r="I12" s="278">
        <v>783</v>
      </c>
      <c r="J12" s="278">
        <v>107</v>
      </c>
      <c r="K12" s="278">
        <v>346</v>
      </c>
      <c r="L12" s="278">
        <v>1570</v>
      </c>
      <c r="M12" s="278">
        <v>19</v>
      </c>
      <c r="N12" s="278">
        <v>31</v>
      </c>
      <c r="O12" s="278">
        <v>4023</v>
      </c>
    </row>
    <row r="13" spans="1:17" x14ac:dyDescent="0.3">
      <c r="A13" s="275"/>
      <c r="B13" s="280" t="s">
        <v>399</v>
      </c>
      <c r="C13" s="277" t="s">
        <v>397</v>
      </c>
      <c r="D13" s="277" t="s">
        <v>397</v>
      </c>
      <c r="E13" s="278">
        <v>22</v>
      </c>
      <c r="F13" s="278">
        <v>63</v>
      </c>
      <c r="G13" s="278" t="s">
        <v>397</v>
      </c>
      <c r="H13" s="278">
        <v>37</v>
      </c>
      <c r="I13" s="278">
        <v>1272</v>
      </c>
      <c r="J13" s="278">
        <v>169</v>
      </c>
      <c r="K13" s="278">
        <v>181</v>
      </c>
      <c r="L13" s="278">
        <v>589</v>
      </c>
      <c r="M13" s="278">
        <v>16</v>
      </c>
      <c r="N13" s="278">
        <v>0</v>
      </c>
      <c r="O13" s="278">
        <v>2378</v>
      </c>
    </row>
    <row r="14" spans="1:17" x14ac:dyDescent="0.3">
      <c r="A14" s="275"/>
      <c r="B14" s="280" t="s">
        <v>400</v>
      </c>
      <c r="C14" s="277" t="s">
        <v>397</v>
      </c>
      <c r="D14" s="277" t="s">
        <v>397</v>
      </c>
      <c r="E14" s="278">
        <v>180</v>
      </c>
      <c r="F14" s="278">
        <v>462</v>
      </c>
      <c r="G14" s="278">
        <v>49</v>
      </c>
      <c r="H14" s="278">
        <v>27</v>
      </c>
      <c r="I14" s="278">
        <v>724</v>
      </c>
      <c r="J14" s="278">
        <v>327</v>
      </c>
      <c r="K14" s="278">
        <v>208</v>
      </c>
      <c r="L14" s="278">
        <v>1196</v>
      </c>
      <c r="M14" s="278">
        <v>20</v>
      </c>
      <c r="N14" s="278">
        <v>5</v>
      </c>
      <c r="O14" s="278">
        <v>3239</v>
      </c>
    </row>
    <row r="15" spans="1:17" x14ac:dyDescent="0.3">
      <c r="A15" s="275"/>
      <c r="B15" s="280" t="s">
        <v>91</v>
      </c>
      <c r="C15" s="277" t="s">
        <v>397</v>
      </c>
      <c r="D15" s="277" t="s">
        <v>397</v>
      </c>
      <c r="E15" s="278">
        <v>872</v>
      </c>
      <c r="F15" s="278">
        <v>1633</v>
      </c>
      <c r="G15" s="278">
        <v>82</v>
      </c>
      <c r="H15" s="278">
        <v>194</v>
      </c>
      <c r="I15" s="278">
        <v>6255</v>
      </c>
      <c r="J15" s="278">
        <v>492</v>
      </c>
      <c r="K15" s="278">
        <v>1534</v>
      </c>
      <c r="L15" s="278">
        <v>2381</v>
      </c>
      <c r="M15" s="278">
        <v>170</v>
      </c>
      <c r="N15" s="278">
        <v>51</v>
      </c>
      <c r="O15" s="278">
        <v>13845</v>
      </c>
    </row>
    <row r="16" spans="1:17" x14ac:dyDescent="0.3">
      <c r="A16" s="275"/>
      <c r="B16" s="280" t="s">
        <v>90</v>
      </c>
      <c r="C16" s="277" t="s">
        <v>397</v>
      </c>
      <c r="D16" s="277" t="s">
        <v>397</v>
      </c>
      <c r="E16" s="278">
        <v>803</v>
      </c>
      <c r="F16" s="278">
        <v>1787</v>
      </c>
      <c r="G16" s="278">
        <v>54</v>
      </c>
      <c r="H16" s="278">
        <v>202</v>
      </c>
      <c r="I16" s="278">
        <v>5350</v>
      </c>
      <c r="J16" s="278">
        <v>1280</v>
      </c>
      <c r="K16" s="278">
        <v>1850</v>
      </c>
      <c r="L16" s="278">
        <v>3905</v>
      </c>
      <c r="M16" s="278">
        <v>215</v>
      </c>
      <c r="N16" s="278">
        <v>81</v>
      </c>
      <c r="O16" s="278">
        <v>16055</v>
      </c>
    </row>
    <row r="17" spans="1:15" x14ac:dyDescent="0.3">
      <c r="A17" s="275"/>
      <c r="B17" s="280" t="s">
        <v>401</v>
      </c>
      <c r="C17" s="277" t="s">
        <v>397</v>
      </c>
      <c r="D17" s="277" t="s">
        <v>397</v>
      </c>
      <c r="E17" s="278">
        <v>748</v>
      </c>
      <c r="F17" s="278">
        <v>1260</v>
      </c>
      <c r="G17" s="278">
        <v>159</v>
      </c>
      <c r="H17" s="278">
        <v>241</v>
      </c>
      <c r="I17" s="278">
        <v>1334</v>
      </c>
      <c r="J17" s="278">
        <v>552</v>
      </c>
      <c r="K17" s="278">
        <v>688</v>
      </c>
      <c r="L17" s="278">
        <v>4164</v>
      </c>
      <c r="M17" s="278">
        <v>134</v>
      </c>
      <c r="N17" s="278">
        <v>17</v>
      </c>
      <c r="O17" s="278">
        <v>9440</v>
      </c>
    </row>
    <row r="18" spans="1:15" x14ac:dyDescent="0.3">
      <c r="A18" s="275"/>
      <c r="B18" s="280" t="s">
        <v>402</v>
      </c>
      <c r="C18" s="277" t="s">
        <v>397</v>
      </c>
      <c r="D18" s="277" t="s">
        <v>397</v>
      </c>
      <c r="E18" s="278">
        <v>444</v>
      </c>
      <c r="F18" s="278">
        <v>3053</v>
      </c>
      <c r="G18" s="278">
        <v>99</v>
      </c>
      <c r="H18" s="278">
        <v>77</v>
      </c>
      <c r="I18" s="278">
        <v>1750</v>
      </c>
      <c r="J18" s="278">
        <v>172</v>
      </c>
      <c r="K18" s="278">
        <v>481</v>
      </c>
      <c r="L18" s="278">
        <v>922</v>
      </c>
      <c r="M18" s="278">
        <v>145</v>
      </c>
      <c r="N18" s="278">
        <v>35</v>
      </c>
      <c r="O18" s="278">
        <v>7235</v>
      </c>
    </row>
    <row r="19" spans="1:15" x14ac:dyDescent="0.3">
      <c r="A19" s="275"/>
      <c r="B19" s="280" t="s">
        <v>403</v>
      </c>
      <c r="C19" s="277" t="s">
        <v>397</v>
      </c>
      <c r="D19" s="277" t="s">
        <v>397</v>
      </c>
      <c r="E19" s="278">
        <v>667</v>
      </c>
      <c r="F19" s="278">
        <v>1108</v>
      </c>
      <c r="G19" s="278">
        <v>194</v>
      </c>
      <c r="H19" s="278">
        <v>167</v>
      </c>
      <c r="I19" s="278">
        <v>4269</v>
      </c>
      <c r="J19" s="278">
        <v>515</v>
      </c>
      <c r="K19" s="278">
        <v>1006</v>
      </c>
      <c r="L19" s="278">
        <v>3703</v>
      </c>
      <c r="M19" s="278">
        <v>90</v>
      </c>
      <c r="N19" s="278">
        <v>22</v>
      </c>
      <c r="O19" s="278">
        <v>12371</v>
      </c>
    </row>
    <row r="20" spans="1:15" x14ac:dyDescent="0.3">
      <c r="A20" s="275"/>
      <c r="B20" s="280" t="s">
        <v>93</v>
      </c>
      <c r="C20" s="277" t="s">
        <v>397</v>
      </c>
      <c r="D20" s="277" t="s">
        <v>397</v>
      </c>
      <c r="E20" s="278">
        <v>410</v>
      </c>
      <c r="F20" s="278">
        <v>1169</v>
      </c>
      <c r="G20" s="278">
        <v>51</v>
      </c>
      <c r="H20" s="278">
        <v>80</v>
      </c>
      <c r="I20" s="278">
        <v>1711</v>
      </c>
      <c r="J20" s="278">
        <v>165</v>
      </c>
      <c r="K20" s="278">
        <v>565</v>
      </c>
      <c r="L20" s="278">
        <v>619</v>
      </c>
      <c r="M20" s="278">
        <v>72</v>
      </c>
      <c r="N20" s="278">
        <v>34</v>
      </c>
      <c r="O20" s="278">
        <v>4930</v>
      </c>
    </row>
    <row r="21" spans="1:15" x14ac:dyDescent="0.3">
      <c r="A21" s="275"/>
      <c r="B21" s="280" t="s">
        <v>404</v>
      </c>
      <c r="C21" s="277" t="s">
        <v>397</v>
      </c>
      <c r="D21" s="277" t="s">
        <v>397</v>
      </c>
      <c r="E21" s="278">
        <v>240</v>
      </c>
      <c r="F21" s="278">
        <v>924</v>
      </c>
      <c r="G21" s="278">
        <v>5</v>
      </c>
      <c r="H21" s="278">
        <v>51</v>
      </c>
      <c r="I21" s="278">
        <v>1110</v>
      </c>
      <c r="J21" s="278">
        <v>435</v>
      </c>
      <c r="K21" s="278">
        <v>405</v>
      </c>
      <c r="L21" s="278">
        <v>2940</v>
      </c>
      <c r="M21" s="278">
        <v>40</v>
      </c>
      <c r="N21" s="278">
        <v>19</v>
      </c>
      <c r="O21" s="278">
        <v>6231</v>
      </c>
    </row>
    <row r="22" spans="1:15" x14ac:dyDescent="0.3">
      <c r="A22" s="275"/>
      <c r="B22" s="280" t="s">
        <v>405</v>
      </c>
      <c r="C22" s="277" t="s">
        <v>397</v>
      </c>
      <c r="D22" s="277" t="s">
        <v>397</v>
      </c>
      <c r="E22" s="278">
        <v>74</v>
      </c>
      <c r="F22" s="278">
        <v>524</v>
      </c>
      <c r="G22" s="278">
        <v>27</v>
      </c>
      <c r="H22" s="278">
        <v>48</v>
      </c>
      <c r="I22" s="278">
        <v>217</v>
      </c>
      <c r="J22" s="278">
        <v>158</v>
      </c>
      <c r="K22" s="278">
        <v>168</v>
      </c>
      <c r="L22" s="278">
        <v>299</v>
      </c>
      <c r="M22" s="278">
        <v>28</v>
      </c>
      <c r="N22" s="278">
        <v>46</v>
      </c>
      <c r="O22" s="278">
        <v>1602</v>
      </c>
    </row>
    <row r="23" spans="1:15" x14ac:dyDescent="0.3">
      <c r="A23" s="275"/>
      <c r="B23" s="280" t="s">
        <v>406</v>
      </c>
      <c r="C23" s="277" t="s">
        <v>397</v>
      </c>
      <c r="D23" s="277" t="s">
        <v>397</v>
      </c>
      <c r="E23" s="278">
        <v>66</v>
      </c>
      <c r="F23" s="278">
        <v>153</v>
      </c>
      <c r="G23" s="278">
        <v>4</v>
      </c>
      <c r="H23" s="278">
        <v>8</v>
      </c>
      <c r="I23" s="278">
        <v>542</v>
      </c>
      <c r="J23" s="278">
        <v>44</v>
      </c>
      <c r="K23" s="278">
        <v>159</v>
      </c>
      <c r="L23" s="278">
        <v>349</v>
      </c>
      <c r="M23" s="278">
        <v>11</v>
      </c>
      <c r="N23" s="278">
        <v>4</v>
      </c>
      <c r="O23" s="278">
        <v>1386</v>
      </c>
    </row>
    <row r="24" spans="1:15" x14ac:dyDescent="0.3">
      <c r="A24" s="275"/>
      <c r="B24" s="280" t="s">
        <v>407</v>
      </c>
      <c r="C24" s="277" t="s">
        <v>397</v>
      </c>
      <c r="D24" s="277" t="s">
        <v>397</v>
      </c>
      <c r="E24" s="278">
        <v>69</v>
      </c>
      <c r="F24" s="278">
        <v>247</v>
      </c>
      <c r="G24" s="278">
        <v>18</v>
      </c>
      <c r="H24" s="278">
        <v>4</v>
      </c>
      <c r="I24" s="278">
        <v>187</v>
      </c>
      <c r="J24" s="278">
        <v>27</v>
      </c>
      <c r="K24" s="278">
        <v>126</v>
      </c>
      <c r="L24" s="278">
        <v>81</v>
      </c>
      <c r="M24" s="278">
        <v>11</v>
      </c>
      <c r="N24" s="278">
        <v>30</v>
      </c>
      <c r="O24" s="278">
        <v>822</v>
      </c>
    </row>
    <row r="25" spans="1:15" x14ac:dyDescent="0.3">
      <c r="A25" s="275"/>
      <c r="B25" s="280" t="s">
        <v>408</v>
      </c>
      <c r="C25" s="277" t="s">
        <v>397</v>
      </c>
      <c r="D25" s="277" t="s">
        <v>397</v>
      </c>
      <c r="E25" s="278">
        <v>76</v>
      </c>
      <c r="F25" s="278">
        <v>153</v>
      </c>
      <c r="G25" s="278">
        <v>0</v>
      </c>
      <c r="H25" s="278">
        <v>28</v>
      </c>
      <c r="I25" s="278">
        <v>324</v>
      </c>
      <c r="J25" s="278">
        <v>63</v>
      </c>
      <c r="K25" s="278">
        <v>118</v>
      </c>
      <c r="L25" s="278">
        <v>78</v>
      </c>
      <c r="M25" s="278">
        <v>8</v>
      </c>
      <c r="N25" s="278">
        <v>23</v>
      </c>
      <c r="O25" s="278">
        <v>875</v>
      </c>
    </row>
    <row r="26" spans="1:15" x14ac:dyDescent="0.3">
      <c r="A26" s="275"/>
      <c r="B26" s="280" t="s">
        <v>409</v>
      </c>
      <c r="C26" s="277" t="s">
        <v>397</v>
      </c>
      <c r="D26" s="277" t="s">
        <v>397</v>
      </c>
      <c r="E26" s="278">
        <v>46</v>
      </c>
      <c r="F26" s="278">
        <v>213</v>
      </c>
      <c r="G26" s="278">
        <v>7</v>
      </c>
      <c r="H26" s="278">
        <v>4</v>
      </c>
      <c r="I26" s="278">
        <v>511</v>
      </c>
      <c r="J26" s="278">
        <v>44</v>
      </c>
      <c r="K26" s="278">
        <v>95</v>
      </c>
      <c r="L26" s="278">
        <v>224</v>
      </c>
      <c r="M26" s="278">
        <v>16</v>
      </c>
      <c r="N26" s="278">
        <v>8</v>
      </c>
      <c r="O26" s="278">
        <v>1178</v>
      </c>
    </row>
    <row r="27" spans="1:15" x14ac:dyDescent="0.3">
      <c r="A27" s="275"/>
      <c r="B27" s="280" t="s">
        <v>410</v>
      </c>
      <c r="C27" s="277" t="s">
        <v>397</v>
      </c>
      <c r="D27" s="277" t="s">
        <v>397</v>
      </c>
      <c r="E27" s="278">
        <v>50</v>
      </c>
      <c r="F27" s="278">
        <v>247</v>
      </c>
      <c r="G27" s="278">
        <v>4</v>
      </c>
      <c r="H27" s="278">
        <v>18</v>
      </c>
      <c r="I27" s="278">
        <v>178</v>
      </c>
      <c r="J27" s="278">
        <v>56</v>
      </c>
      <c r="K27" s="278">
        <v>93</v>
      </c>
      <c r="L27" s="278">
        <v>198</v>
      </c>
      <c r="M27" s="278">
        <v>9</v>
      </c>
      <c r="N27" s="278">
        <v>19</v>
      </c>
      <c r="O27" s="278">
        <v>880</v>
      </c>
    </row>
    <row r="28" spans="1:15" x14ac:dyDescent="0.3">
      <c r="A28" s="275"/>
      <c r="B28" s="280" t="s">
        <v>411</v>
      </c>
      <c r="C28" s="277" t="s">
        <v>397</v>
      </c>
      <c r="D28" s="277" t="s">
        <v>397</v>
      </c>
      <c r="E28" s="278">
        <v>0</v>
      </c>
      <c r="F28" s="278">
        <v>27</v>
      </c>
      <c r="G28" s="278">
        <v>0</v>
      </c>
      <c r="H28" s="278">
        <v>0</v>
      </c>
      <c r="I28" s="278">
        <v>0</v>
      </c>
      <c r="J28" s="278">
        <v>6</v>
      </c>
      <c r="K28" s="278">
        <v>19</v>
      </c>
      <c r="L28" s="278" t="s">
        <v>397</v>
      </c>
      <c r="M28" s="278">
        <v>0</v>
      </c>
      <c r="N28" s="278">
        <v>0</v>
      </c>
      <c r="O28" s="278">
        <v>56</v>
      </c>
    </row>
    <row r="29" spans="1:15" x14ac:dyDescent="0.3">
      <c r="A29" s="275"/>
      <c r="B29" s="280" t="s">
        <v>412</v>
      </c>
      <c r="C29" s="277" t="s">
        <v>397</v>
      </c>
      <c r="D29" s="277" t="s">
        <v>397</v>
      </c>
      <c r="E29" s="278">
        <v>35</v>
      </c>
      <c r="F29" s="278">
        <v>122</v>
      </c>
      <c r="G29" s="278">
        <v>0</v>
      </c>
      <c r="H29" s="278">
        <v>4</v>
      </c>
      <c r="I29" s="278">
        <v>145</v>
      </c>
      <c r="J29" s="278">
        <v>73</v>
      </c>
      <c r="K29" s="278">
        <v>68</v>
      </c>
      <c r="L29" s="278">
        <v>90</v>
      </c>
      <c r="M29" s="278">
        <v>7</v>
      </c>
      <c r="N29" s="278">
        <v>21</v>
      </c>
      <c r="O29" s="278">
        <v>569</v>
      </c>
    </row>
    <row r="30" spans="1:15" x14ac:dyDescent="0.3">
      <c r="A30" s="275"/>
      <c r="B30" s="280" t="s">
        <v>413</v>
      </c>
      <c r="C30" s="277" t="s">
        <v>397</v>
      </c>
      <c r="D30" s="277" t="s">
        <v>397</v>
      </c>
      <c r="E30" s="278">
        <v>0</v>
      </c>
      <c r="F30" s="278">
        <v>92</v>
      </c>
      <c r="G30" s="278">
        <v>0</v>
      </c>
      <c r="H30" s="278" t="s">
        <v>397</v>
      </c>
      <c r="I30" s="278">
        <v>0</v>
      </c>
      <c r="J30" s="278">
        <v>0</v>
      </c>
      <c r="K30" s="278">
        <v>20</v>
      </c>
      <c r="L30" s="278" t="s">
        <v>397</v>
      </c>
      <c r="M30" s="278">
        <v>0</v>
      </c>
      <c r="N30" s="278">
        <v>0</v>
      </c>
      <c r="O30" s="278">
        <v>116</v>
      </c>
    </row>
    <row r="31" spans="1:15" x14ac:dyDescent="0.3">
      <c r="A31" s="275"/>
      <c r="B31" s="280" t="s">
        <v>414</v>
      </c>
      <c r="C31" s="277" t="s">
        <v>397</v>
      </c>
      <c r="D31" s="277" t="s">
        <v>397</v>
      </c>
      <c r="E31" s="278">
        <v>12</v>
      </c>
      <c r="F31" s="278">
        <v>92</v>
      </c>
      <c r="G31" s="278">
        <v>0</v>
      </c>
      <c r="H31" s="278" t="s">
        <v>397</v>
      </c>
      <c r="I31" s="278">
        <v>31</v>
      </c>
      <c r="J31" s="278">
        <v>27</v>
      </c>
      <c r="K31" s="278">
        <v>27</v>
      </c>
      <c r="L31" s="278">
        <v>64</v>
      </c>
      <c r="M31" s="278" t="s">
        <v>397</v>
      </c>
      <c r="N31" s="278">
        <v>13</v>
      </c>
      <c r="O31" s="278">
        <v>282</v>
      </c>
    </row>
    <row r="32" spans="1:15" x14ac:dyDescent="0.3">
      <c r="A32" s="275"/>
      <c r="B32" s="280" t="s">
        <v>415</v>
      </c>
      <c r="C32" s="277" t="s">
        <v>397</v>
      </c>
      <c r="D32" s="277" t="s">
        <v>397</v>
      </c>
      <c r="E32" s="278">
        <v>4</v>
      </c>
      <c r="F32" s="278">
        <v>27</v>
      </c>
      <c r="G32" s="278">
        <v>0</v>
      </c>
      <c r="H32" s="278">
        <v>4</v>
      </c>
      <c r="I32" s="278">
        <v>82</v>
      </c>
      <c r="J32" s="278">
        <v>11</v>
      </c>
      <c r="K32" s="278">
        <v>27</v>
      </c>
      <c r="L32" s="278">
        <v>4</v>
      </c>
      <c r="M32" s="278">
        <v>2</v>
      </c>
      <c r="N32" s="278">
        <v>13</v>
      </c>
      <c r="O32" s="278">
        <v>178</v>
      </c>
    </row>
    <row r="33" spans="1:16" x14ac:dyDescent="0.3">
      <c r="A33" s="275"/>
      <c r="B33" s="280" t="s">
        <v>416</v>
      </c>
      <c r="C33" s="277" t="s">
        <v>397</v>
      </c>
      <c r="D33" s="277" t="s">
        <v>397</v>
      </c>
      <c r="E33" s="278">
        <v>109</v>
      </c>
      <c r="F33" s="278">
        <v>182</v>
      </c>
      <c r="G33" s="278">
        <v>17</v>
      </c>
      <c r="H33" s="278">
        <v>32</v>
      </c>
      <c r="I33" s="278">
        <v>1259</v>
      </c>
      <c r="J33" s="278">
        <v>58</v>
      </c>
      <c r="K33" s="278">
        <v>233</v>
      </c>
      <c r="L33" s="278">
        <v>343</v>
      </c>
      <c r="M33" s="278">
        <v>36</v>
      </c>
      <c r="N33" s="278">
        <v>136</v>
      </c>
      <c r="O33" s="278">
        <v>2433</v>
      </c>
    </row>
    <row r="34" spans="1:16" x14ac:dyDescent="0.3">
      <c r="A34" s="275"/>
      <c r="B34" s="280" t="s">
        <v>417</v>
      </c>
      <c r="C34" s="277" t="s">
        <v>397</v>
      </c>
      <c r="D34" s="277" t="s">
        <v>397</v>
      </c>
      <c r="E34" s="278">
        <v>421</v>
      </c>
      <c r="F34" s="278">
        <v>922</v>
      </c>
      <c r="G34" s="278">
        <v>13</v>
      </c>
      <c r="H34" s="278">
        <v>109</v>
      </c>
      <c r="I34" s="278">
        <v>1815</v>
      </c>
      <c r="J34" s="278">
        <v>589</v>
      </c>
      <c r="K34" s="278">
        <v>957</v>
      </c>
      <c r="L34" s="278">
        <v>7004</v>
      </c>
      <c r="M34" s="278">
        <v>128</v>
      </c>
      <c r="N34" s="278">
        <v>21</v>
      </c>
      <c r="O34" s="278">
        <v>12386</v>
      </c>
    </row>
    <row r="35" spans="1:16" x14ac:dyDescent="0.3">
      <c r="A35" s="275"/>
      <c r="B35" s="280" t="s">
        <v>418</v>
      </c>
      <c r="C35" s="277" t="s">
        <v>397</v>
      </c>
      <c r="D35" s="277" t="s">
        <v>397</v>
      </c>
      <c r="E35" s="278">
        <v>87</v>
      </c>
      <c r="F35" s="278">
        <v>342</v>
      </c>
      <c r="G35" s="278">
        <v>0</v>
      </c>
      <c r="H35" s="278">
        <v>27</v>
      </c>
      <c r="I35" s="278">
        <v>258</v>
      </c>
      <c r="J35" s="278">
        <v>51</v>
      </c>
      <c r="K35" s="278">
        <v>107</v>
      </c>
      <c r="L35" s="278">
        <v>266</v>
      </c>
      <c r="M35" s="278">
        <v>28</v>
      </c>
      <c r="N35" s="278">
        <v>76</v>
      </c>
      <c r="O35" s="278">
        <v>1252</v>
      </c>
    </row>
    <row r="36" spans="1:16" x14ac:dyDescent="0.3">
      <c r="A36" s="275"/>
      <c r="B36" s="280" t="s">
        <v>419</v>
      </c>
      <c r="C36" s="277" t="s">
        <v>397</v>
      </c>
      <c r="D36" s="277" t="s">
        <v>397</v>
      </c>
      <c r="E36" s="278">
        <v>28</v>
      </c>
      <c r="F36" s="278">
        <v>91</v>
      </c>
      <c r="G36" s="278">
        <v>0</v>
      </c>
      <c r="H36" s="278">
        <v>19</v>
      </c>
      <c r="I36" s="278">
        <v>2</v>
      </c>
      <c r="J36" s="278">
        <v>17</v>
      </c>
      <c r="K36" s="278">
        <v>59</v>
      </c>
      <c r="L36" s="278">
        <v>40</v>
      </c>
      <c r="M36" s="278">
        <v>12</v>
      </c>
      <c r="N36" s="278">
        <v>22</v>
      </c>
      <c r="O36" s="278">
        <v>294</v>
      </c>
    </row>
    <row r="37" spans="1:16" x14ac:dyDescent="0.3">
      <c r="A37" s="275"/>
      <c r="B37" s="280" t="s">
        <v>420</v>
      </c>
      <c r="C37" s="277" t="s">
        <v>397</v>
      </c>
      <c r="D37" s="277" t="s">
        <v>397</v>
      </c>
      <c r="E37" s="278">
        <v>92</v>
      </c>
      <c r="F37" s="278">
        <v>246</v>
      </c>
      <c r="G37" s="278">
        <v>12</v>
      </c>
      <c r="H37" s="278">
        <v>22</v>
      </c>
      <c r="I37" s="278">
        <v>112</v>
      </c>
      <c r="J37" s="278">
        <v>27</v>
      </c>
      <c r="K37" s="278">
        <v>98</v>
      </c>
      <c r="L37" s="278">
        <v>295</v>
      </c>
      <c r="M37" s="278">
        <v>23</v>
      </c>
      <c r="N37" s="278">
        <v>76</v>
      </c>
      <c r="O37" s="278">
        <v>1029</v>
      </c>
    </row>
    <row r="38" spans="1:16" x14ac:dyDescent="0.3">
      <c r="A38" s="275"/>
      <c r="B38" s="280" t="s">
        <v>421</v>
      </c>
      <c r="C38" s="277" t="s">
        <v>397</v>
      </c>
      <c r="D38" s="277" t="s">
        <v>397</v>
      </c>
      <c r="E38" s="278">
        <v>499</v>
      </c>
      <c r="F38" s="278">
        <v>832</v>
      </c>
      <c r="G38" s="278">
        <v>126</v>
      </c>
      <c r="H38" s="278">
        <v>160</v>
      </c>
      <c r="I38" s="278">
        <v>563</v>
      </c>
      <c r="J38" s="278">
        <v>143</v>
      </c>
      <c r="K38" s="278">
        <v>323</v>
      </c>
      <c r="L38" s="278">
        <v>632</v>
      </c>
      <c r="M38" s="278">
        <v>100</v>
      </c>
      <c r="N38" s="278">
        <v>32</v>
      </c>
      <c r="O38" s="278">
        <v>3441</v>
      </c>
    </row>
    <row r="39" spans="1:16" x14ac:dyDescent="0.3">
      <c r="B39" s="280" t="s">
        <v>422</v>
      </c>
      <c r="C39" s="277" t="s">
        <v>397</v>
      </c>
      <c r="D39" s="277" t="s">
        <v>397</v>
      </c>
      <c r="E39" s="281">
        <v>75</v>
      </c>
      <c r="F39" s="281">
        <v>92</v>
      </c>
      <c r="G39" s="281">
        <v>0</v>
      </c>
      <c r="H39" s="281">
        <v>20</v>
      </c>
      <c r="I39" s="281">
        <v>2</v>
      </c>
      <c r="J39" s="281">
        <v>10</v>
      </c>
      <c r="K39" s="281">
        <v>36</v>
      </c>
      <c r="L39" s="281">
        <v>50</v>
      </c>
      <c r="M39" s="281" t="s">
        <v>397</v>
      </c>
      <c r="N39" s="281">
        <v>18</v>
      </c>
      <c r="O39" s="281">
        <v>315</v>
      </c>
      <c r="P39" s="282"/>
    </row>
    <row r="40" spans="1:16" x14ac:dyDescent="0.3">
      <c r="B40" s="280" t="s">
        <v>423</v>
      </c>
      <c r="C40" s="277" t="s">
        <v>397</v>
      </c>
      <c r="D40" s="277" t="s">
        <v>397</v>
      </c>
      <c r="E40" s="281">
        <v>47</v>
      </c>
      <c r="F40" s="281">
        <v>92</v>
      </c>
      <c r="G40" s="281">
        <v>21</v>
      </c>
      <c r="H40" s="281">
        <v>31</v>
      </c>
      <c r="I40" s="281">
        <v>66</v>
      </c>
      <c r="J40" s="281">
        <v>21</v>
      </c>
      <c r="K40" s="281">
        <v>55</v>
      </c>
      <c r="L40" s="281">
        <v>165</v>
      </c>
      <c r="M40" s="281">
        <v>43</v>
      </c>
      <c r="N40" s="281">
        <v>37</v>
      </c>
      <c r="O40" s="281">
        <v>582</v>
      </c>
      <c r="P40" s="282"/>
    </row>
    <row r="41" spans="1:16" x14ac:dyDescent="0.3">
      <c r="B41" s="280" t="s">
        <v>424</v>
      </c>
      <c r="C41" s="277" t="s">
        <v>397</v>
      </c>
      <c r="D41" s="277" t="s">
        <v>397</v>
      </c>
      <c r="E41" s="281">
        <v>4278</v>
      </c>
      <c r="F41" s="281">
        <v>4247</v>
      </c>
      <c r="G41" s="281">
        <v>164</v>
      </c>
      <c r="H41" s="281">
        <v>2126</v>
      </c>
      <c r="I41" s="281">
        <v>14636</v>
      </c>
      <c r="J41" s="281">
        <v>3466</v>
      </c>
      <c r="K41" s="281">
        <v>4061</v>
      </c>
      <c r="L41" s="281">
        <v>17556</v>
      </c>
      <c r="M41" s="281">
        <v>1279</v>
      </c>
      <c r="N41" s="281">
        <v>75</v>
      </c>
      <c r="O41" s="281">
        <v>52149</v>
      </c>
      <c r="P41" s="282"/>
    </row>
    <row r="42" spans="1:16" x14ac:dyDescent="0.3">
      <c r="B42" s="280" t="s">
        <v>425</v>
      </c>
      <c r="C42" s="277" t="s">
        <v>397</v>
      </c>
      <c r="D42" s="277" t="s">
        <v>397</v>
      </c>
      <c r="E42" s="281">
        <v>687</v>
      </c>
      <c r="F42" s="281">
        <v>1171</v>
      </c>
      <c r="G42" s="281">
        <v>35</v>
      </c>
      <c r="H42" s="281">
        <v>19</v>
      </c>
      <c r="I42" s="281">
        <v>267</v>
      </c>
      <c r="J42" s="281">
        <v>119</v>
      </c>
      <c r="K42" s="281">
        <v>210</v>
      </c>
      <c r="L42" s="281">
        <v>610</v>
      </c>
      <c r="M42" s="281">
        <v>75</v>
      </c>
      <c r="N42" s="281">
        <v>102</v>
      </c>
      <c r="O42" s="281">
        <v>3329</v>
      </c>
      <c r="P42" s="282"/>
    </row>
    <row r="43" spans="1:16" x14ac:dyDescent="0.3">
      <c r="B43" s="280" t="s">
        <v>426</v>
      </c>
      <c r="C43" s="277" t="s">
        <v>397</v>
      </c>
      <c r="D43" s="277" t="s">
        <v>397</v>
      </c>
      <c r="E43" s="281">
        <v>439</v>
      </c>
      <c r="F43" s="281">
        <v>523</v>
      </c>
      <c r="G43" s="281">
        <v>64</v>
      </c>
      <c r="H43" s="281">
        <v>23</v>
      </c>
      <c r="I43" s="281">
        <v>621</v>
      </c>
      <c r="J43" s="281">
        <v>41</v>
      </c>
      <c r="K43" s="281">
        <v>167</v>
      </c>
      <c r="L43" s="281">
        <v>541</v>
      </c>
      <c r="M43" s="281">
        <v>24</v>
      </c>
      <c r="N43" s="281">
        <v>26</v>
      </c>
      <c r="O43" s="281">
        <v>2479</v>
      </c>
      <c r="P43" s="282"/>
    </row>
    <row r="44" spans="1:16" x14ac:dyDescent="0.3">
      <c r="B44" s="280" t="s">
        <v>427</v>
      </c>
      <c r="C44" s="277" t="s">
        <v>397</v>
      </c>
      <c r="D44" s="277" t="s">
        <v>397</v>
      </c>
      <c r="E44" s="281">
        <v>403</v>
      </c>
      <c r="F44" s="281">
        <v>586</v>
      </c>
      <c r="G44" s="281">
        <v>40</v>
      </c>
      <c r="H44" s="281">
        <v>56</v>
      </c>
      <c r="I44" s="281">
        <v>169</v>
      </c>
      <c r="J44" s="281">
        <v>225</v>
      </c>
      <c r="K44" s="281">
        <v>250</v>
      </c>
      <c r="L44" s="281">
        <v>195</v>
      </c>
      <c r="M44" s="281">
        <v>11</v>
      </c>
      <c r="N44" s="281">
        <v>90</v>
      </c>
      <c r="O44" s="281">
        <v>2038</v>
      </c>
      <c r="P44" s="282"/>
    </row>
    <row r="45" spans="1:16" x14ac:dyDescent="0.3">
      <c r="B45" s="280" t="s">
        <v>428</v>
      </c>
      <c r="C45" s="277" t="s">
        <v>397</v>
      </c>
      <c r="D45" s="277" t="s">
        <v>397</v>
      </c>
      <c r="E45" s="281">
        <v>24</v>
      </c>
      <c r="F45" s="281">
        <v>27</v>
      </c>
      <c r="G45" s="281">
        <v>0</v>
      </c>
      <c r="H45" s="281">
        <v>0</v>
      </c>
      <c r="I45" s="281">
        <v>0</v>
      </c>
      <c r="J45" s="281">
        <v>0</v>
      </c>
      <c r="K45" s="281">
        <v>19</v>
      </c>
      <c r="L45" s="281" t="s">
        <v>397</v>
      </c>
      <c r="M45" s="281">
        <v>0</v>
      </c>
      <c r="N45" s="281">
        <v>17</v>
      </c>
      <c r="O45" s="281">
        <v>95</v>
      </c>
      <c r="P45" s="282"/>
    </row>
    <row r="46" spans="1:16" x14ac:dyDescent="0.3">
      <c r="B46" s="280" t="s">
        <v>429</v>
      </c>
      <c r="C46" s="277" t="s">
        <v>397</v>
      </c>
      <c r="D46" s="277" t="s">
        <v>397</v>
      </c>
      <c r="E46" s="281">
        <v>569</v>
      </c>
      <c r="F46" s="281">
        <v>279</v>
      </c>
      <c r="G46" s="281">
        <v>0</v>
      </c>
      <c r="H46" s="281">
        <v>129</v>
      </c>
      <c r="I46" s="281">
        <v>4604</v>
      </c>
      <c r="J46" s="281">
        <v>238</v>
      </c>
      <c r="K46" s="281">
        <v>248</v>
      </c>
      <c r="L46" s="281">
        <v>1111</v>
      </c>
      <c r="M46" s="281">
        <v>175</v>
      </c>
      <c r="N46" s="281">
        <v>62</v>
      </c>
      <c r="O46" s="281">
        <v>7441</v>
      </c>
      <c r="P46" s="282"/>
    </row>
    <row r="47" spans="1:16" x14ac:dyDescent="0.3">
      <c r="B47" s="280" t="s">
        <v>430</v>
      </c>
      <c r="C47" s="277" t="s">
        <v>397</v>
      </c>
      <c r="D47" s="277" t="s">
        <v>397</v>
      </c>
      <c r="E47" s="281">
        <v>63</v>
      </c>
      <c r="F47" s="281">
        <v>279</v>
      </c>
      <c r="G47" s="281">
        <v>9</v>
      </c>
      <c r="H47" s="281">
        <v>18</v>
      </c>
      <c r="I47" s="281">
        <v>28</v>
      </c>
      <c r="J47" s="281">
        <v>70</v>
      </c>
      <c r="K47" s="281">
        <v>55</v>
      </c>
      <c r="L47" s="281">
        <v>161</v>
      </c>
      <c r="M47" s="281">
        <v>10</v>
      </c>
      <c r="N47" s="281">
        <v>25</v>
      </c>
      <c r="O47" s="281">
        <v>731</v>
      </c>
      <c r="P47" s="282"/>
    </row>
    <row r="48" spans="1:16" x14ac:dyDescent="0.3">
      <c r="B48" s="280" t="s">
        <v>431</v>
      </c>
      <c r="C48" s="277" t="s">
        <v>397</v>
      </c>
      <c r="D48" s="277" t="s">
        <v>397</v>
      </c>
      <c r="E48" s="281">
        <v>8</v>
      </c>
      <c r="F48" s="281">
        <v>27</v>
      </c>
      <c r="G48" s="281">
        <v>0</v>
      </c>
      <c r="H48" s="281">
        <v>4</v>
      </c>
      <c r="I48" s="281">
        <v>4</v>
      </c>
      <c r="J48" s="281">
        <v>6</v>
      </c>
      <c r="K48" s="281">
        <v>20</v>
      </c>
      <c r="L48" s="281">
        <v>32</v>
      </c>
      <c r="M48" s="281" t="s">
        <v>397</v>
      </c>
      <c r="N48" s="281">
        <v>4</v>
      </c>
      <c r="O48" s="281">
        <v>109</v>
      </c>
      <c r="P48" s="282"/>
    </row>
    <row r="49" spans="1:16" x14ac:dyDescent="0.3">
      <c r="B49" s="280" t="s">
        <v>432</v>
      </c>
      <c r="C49" s="277" t="s">
        <v>397</v>
      </c>
      <c r="D49" s="277" t="s">
        <v>397</v>
      </c>
      <c r="E49" s="281">
        <v>117</v>
      </c>
      <c r="F49" s="281">
        <v>524</v>
      </c>
      <c r="G49" s="281">
        <v>21</v>
      </c>
      <c r="H49" s="281">
        <v>19</v>
      </c>
      <c r="I49" s="281">
        <v>192</v>
      </c>
      <c r="J49" s="281">
        <v>63</v>
      </c>
      <c r="K49" s="281">
        <v>103</v>
      </c>
      <c r="L49" s="281" t="s">
        <v>397</v>
      </c>
      <c r="M49" s="281">
        <v>11</v>
      </c>
      <c r="N49" s="281">
        <v>67</v>
      </c>
      <c r="O49" s="281">
        <v>1635</v>
      </c>
      <c r="P49" s="282"/>
    </row>
    <row r="50" spans="1:16" x14ac:dyDescent="0.3">
      <c r="B50" s="280" t="s">
        <v>433</v>
      </c>
      <c r="C50" s="277" t="s">
        <v>397</v>
      </c>
      <c r="D50" s="277" t="s">
        <v>397</v>
      </c>
      <c r="E50" s="281">
        <v>333</v>
      </c>
      <c r="F50" s="281">
        <v>463</v>
      </c>
      <c r="G50" s="281">
        <v>0</v>
      </c>
      <c r="H50" s="281">
        <v>34</v>
      </c>
      <c r="I50" s="281">
        <v>368</v>
      </c>
      <c r="J50" s="281">
        <v>165</v>
      </c>
      <c r="K50" s="281">
        <v>175</v>
      </c>
      <c r="L50" s="281">
        <v>922</v>
      </c>
      <c r="M50" s="281">
        <v>15</v>
      </c>
      <c r="N50" s="281">
        <v>14</v>
      </c>
      <c r="O50" s="281">
        <v>2507</v>
      </c>
      <c r="P50" s="282"/>
    </row>
    <row r="51" spans="1:16" x14ac:dyDescent="0.3">
      <c r="B51" s="280" t="s">
        <v>434</v>
      </c>
      <c r="C51" s="277" t="s">
        <v>397</v>
      </c>
      <c r="D51" s="277" t="s">
        <v>397</v>
      </c>
      <c r="E51" s="281">
        <v>275</v>
      </c>
      <c r="F51" s="281">
        <v>213</v>
      </c>
      <c r="G51" s="281">
        <v>128</v>
      </c>
      <c r="H51" s="281">
        <v>20</v>
      </c>
      <c r="I51" s="281">
        <v>233</v>
      </c>
      <c r="J51" s="281">
        <v>65</v>
      </c>
      <c r="K51" s="281">
        <v>98</v>
      </c>
      <c r="L51" s="281">
        <v>369</v>
      </c>
      <c r="M51" s="281">
        <v>18</v>
      </c>
      <c r="N51" s="281">
        <v>22</v>
      </c>
      <c r="O51" s="281">
        <v>1476</v>
      </c>
      <c r="P51" s="282"/>
    </row>
    <row r="52" spans="1:16" x14ac:dyDescent="0.3">
      <c r="B52" s="280" t="s">
        <v>435</v>
      </c>
      <c r="C52" s="277" t="s">
        <v>397</v>
      </c>
      <c r="D52" s="277" t="s">
        <v>397</v>
      </c>
      <c r="E52" s="281">
        <v>85</v>
      </c>
      <c r="F52" s="281">
        <v>0</v>
      </c>
      <c r="G52" s="281">
        <v>0</v>
      </c>
      <c r="H52" s="281">
        <v>4</v>
      </c>
      <c r="I52" s="281">
        <v>176</v>
      </c>
      <c r="J52" s="281">
        <v>15</v>
      </c>
      <c r="K52" s="281">
        <v>95</v>
      </c>
      <c r="L52" s="281">
        <v>371</v>
      </c>
      <c r="M52" s="281">
        <v>10</v>
      </c>
      <c r="N52" s="281">
        <v>13</v>
      </c>
      <c r="O52" s="281">
        <v>777</v>
      </c>
      <c r="P52" s="282"/>
    </row>
    <row r="53" spans="1:16" x14ac:dyDescent="0.3">
      <c r="B53" s="280" t="s">
        <v>436</v>
      </c>
      <c r="C53" s="277" t="s">
        <v>397</v>
      </c>
      <c r="D53" s="277" t="s">
        <v>397</v>
      </c>
      <c r="E53" s="281">
        <v>41</v>
      </c>
      <c r="F53" s="281">
        <v>153</v>
      </c>
      <c r="G53" s="281">
        <v>0</v>
      </c>
      <c r="H53" s="281">
        <v>5</v>
      </c>
      <c r="I53" s="281">
        <v>23</v>
      </c>
      <c r="J53" s="281">
        <v>30</v>
      </c>
      <c r="K53" s="281">
        <v>31</v>
      </c>
      <c r="L53" s="281">
        <v>78</v>
      </c>
      <c r="M53" s="281" t="s">
        <v>397</v>
      </c>
      <c r="N53" s="281">
        <v>21</v>
      </c>
      <c r="O53" s="281">
        <v>396</v>
      </c>
      <c r="P53" s="282"/>
    </row>
    <row r="54" spans="1:16" x14ac:dyDescent="0.3">
      <c r="B54" s="280" t="s">
        <v>437</v>
      </c>
      <c r="C54" s="277" t="s">
        <v>397</v>
      </c>
      <c r="D54" s="277" t="s">
        <v>397</v>
      </c>
      <c r="E54" s="281">
        <v>1362</v>
      </c>
      <c r="F54" s="281">
        <v>1259</v>
      </c>
      <c r="G54" s="281">
        <v>16</v>
      </c>
      <c r="H54" s="281">
        <v>221</v>
      </c>
      <c r="I54" s="281">
        <v>541</v>
      </c>
      <c r="J54" s="281">
        <v>166</v>
      </c>
      <c r="K54" s="281">
        <v>260</v>
      </c>
      <c r="L54" s="281">
        <v>559</v>
      </c>
      <c r="M54" s="281">
        <v>71</v>
      </c>
      <c r="N54" s="281">
        <v>24</v>
      </c>
      <c r="O54" s="281">
        <v>4499</v>
      </c>
      <c r="P54" s="282"/>
    </row>
    <row r="55" spans="1:16" x14ac:dyDescent="0.3">
      <c r="B55" s="280" t="s">
        <v>438</v>
      </c>
      <c r="C55" s="277" t="s">
        <v>397</v>
      </c>
      <c r="D55" s="277" t="s">
        <v>397</v>
      </c>
      <c r="E55" s="281">
        <v>472</v>
      </c>
      <c r="F55" s="281">
        <v>246</v>
      </c>
      <c r="G55" s="281">
        <v>0</v>
      </c>
      <c r="H55" s="281">
        <v>56</v>
      </c>
      <c r="I55" s="281">
        <v>270</v>
      </c>
      <c r="J55" s="281">
        <v>278</v>
      </c>
      <c r="K55" s="281">
        <v>291</v>
      </c>
      <c r="L55" s="281">
        <v>224</v>
      </c>
      <c r="M55" s="281">
        <v>33</v>
      </c>
      <c r="N55" s="281">
        <v>34</v>
      </c>
      <c r="O55" s="281">
        <v>1918</v>
      </c>
      <c r="P55" s="282"/>
    </row>
    <row r="56" spans="1:16" x14ac:dyDescent="0.3">
      <c r="B56" s="280" t="s">
        <v>439</v>
      </c>
      <c r="C56" s="277" t="s">
        <v>397</v>
      </c>
      <c r="D56" s="277" t="s">
        <v>397</v>
      </c>
      <c r="E56" s="281">
        <v>153</v>
      </c>
      <c r="F56" s="281">
        <v>184</v>
      </c>
      <c r="G56" s="281">
        <v>0</v>
      </c>
      <c r="H56" s="281">
        <v>29</v>
      </c>
      <c r="I56" s="281">
        <v>79</v>
      </c>
      <c r="J56" s="281">
        <v>76</v>
      </c>
      <c r="K56" s="281">
        <v>79</v>
      </c>
      <c r="L56" s="281">
        <v>259</v>
      </c>
      <c r="M56" s="281">
        <v>20</v>
      </c>
      <c r="N56" s="281">
        <v>22</v>
      </c>
      <c r="O56" s="281">
        <v>907</v>
      </c>
      <c r="P56" s="282"/>
    </row>
    <row r="57" spans="1:16" x14ac:dyDescent="0.3">
      <c r="B57" s="280" t="s">
        <v>440</v>
      </c>
      <c r="C57" s="277" t="s">
        <v>397</v>
      </c>
      <c r="D57" s="277" t="s">
        <v>397</v>
      </c>
      <c r="E57" s="281">
        <v>24</v>
      </c>
      <c r="F57" s="281">
        <v>63</v>
      </c>
      <c r="G57" s="281">
        <v>0</v>
      </c>
      <c r="H57" s="281">
        <v>5</v>
      </c>
      <c r="I57" s="281">
        <v>9</v>
      </c>
      <c r="J57" s="281">
        <v>5</v>
      </c>
      <c r="K57" s="281">
        <v>16</v>
      </c>
      <c r="L57" s="281">
        <v>76</v>
      </c>
      <c r="M57" s="281">
        <v>0</v>
      </c>
      <c r="N57" s="281">
        <v>0</v>
      </c>
      <c r="O57" s="281">
        <v>202</v>
      </c>
      <c r="P57" s="282"/>
    </row>
    <row r="58" spans="1:16" x14ac:dyDescent="0.3">
      <c r="B58" s="280" t="s">
        <v>441</v>
      </c>
      <c r="C58" s="277" t="s">
        <v>397</v>
      </c>
      <c r="D58" s="277" t="s">
        <v>397</v>
      </c>
      <c r="E58" s="281">
        <v>136</v>
      </c>
      <c r="F58" s="281">
        <v>246</v>
      </c>
      <c r="G58" s="281">
        <v>0</v>
      </c>
      <c r="H58" s="281">
        <v>22</v>
      </c>
      <c r="I58" s="281">
        <v>27</v>
      </c>
      <c r="J58" s="281">
        <v>17</v>
      </c>
      <c r="K58" s="281">
        <v>75</v>
      </c>
      <c r="L58" s="281">
        <v>7</v>
      </c>
      <c r="M58" s="281">
        <v>8</v>
      </c>
      <c r="N58" s="281">
        <v>8</v>
      </c>
      <c r="O58" s="281">
        <v>551</v>
      </c>
      <c r="P58" s="282"/>
    </row>
    <row r="59" spans="1:16" x14ac:dyDescent="0.3">
      <c r="B59" s="280" t="s">
        <v>442</v>
      </c>
      <c r="C59" s="277" t="s">
        <v>397</v>
      </c>
      <c r="D59" s="277" t="s">
        <v>397</v>
      </c>
      <c r="E59" s="281">
        <v>141</v>
      </c>
      <c r="F59" s="281">
        <v>491</v>
      </c>
      <c r="G59" s="281">
        <v>72</v>
      </c>
      <c r="H59" s="281">
        <v>157</v>
      </c>
      <c r="I59" s="281">
        <v>448</v>
      </c>
      <c r="J59" s="281">
        <v>193</v>
      </c>
      <c r="K59" s="281">
        <v>273</v>
      </c>
      <c r="L59" s="281">
        <v>651</v>
      </c>
      <c r="M59" s="281">
        <v>14</v>
      </c>
      <c r="N59" s="281">
        <v>7</v>
      </c>
      <c r="O59" s="281">
        <v>2496</v>
      </c>
      <c r="P59" s="282"/>
    </row>
    <row r="60" spans="1:16" x14ac:dyDescent="0.3">
      <c r="B60" s="280" t="s">
        <v>88</v>
      </c>
      <c r="C60" s="277" t="s">
        <v>397</v>
      </c>
      <c r="D60" s="277" t="s">
        <v>397</v>
      </c>
      <c r="E60" s="281">
        <v>9507</v>
      </c>
      <c r="F60" s="281">
        <v>3251</v>
      </c>
      <c r="G60" s="281">
        <v>261</v>
      </c>
      <c r="H60" s="281">
        <v>13002</v>
      </c>
      <c r="I60" s="281">
        <v>7836</v>
      </c>
      <c r="J60" s="281">
        <v>1772</v>
      </c>
      <c r="K60" s="281">
        <v>2458</v>
      </c>
      <c r="L60" s="281">
        <v>9711</v>
      </c>
      <c r="M60" s="281">
        <v>447</v>
      </c>
      <c r="N60" s="281">
        <v>1045</v>
      </c>
      <c r="O60" s="281">
        <v>50248</v>
      </c>
      <c r="P60" s="282"/>
    </row>
    <row r="62" spans="1:16" ht="15" thickBot="1" x14ac:dyDescent="0.35">
      <c r="A62" s="283"/>
      <c r="B62" s="283" t="s">
        <v>443</v>
      </c>
      <c r="C62" s="284">
        <v>2094</v>
      </c>
      <c r="D62" s="284">
        <v>1871</v>
      </c>
      <c r="E62" s="284">
        <v>25950</v>
      </c>
      <c r="F62" s="284">
        <v>30756</v>
      </c>
      <c r="G62" s="284">
        <v>1787</v>
      </c>
      <c r="H62" s="284">
        <v>17630</v>
      </c>
      <c r="I62" s="284">
        <v>61383</v>
      </c>
      <c r="J62" s="284">
        <v>12649</v>
      </c>
      <c r="K62" s="284">
        <v>19036</v>
      </c>
      <c r="L62" s="284">
        <v>66051</v>
      </c>
      <c r="M62" s="284">
        <v>3631</v>
      </c>
      <c r="N62" s="284">
        <v>2568</v>
      </c>
      <c r="O62" s="284">
        <v>245406</v>
      </c>
    </row>
    <row r="64" spans="1:16" x14ac:dyDescent="0.3">
      <c r="A64" s="275" t="s">
        <v>86</v>
      </c>
      <c r="H64" s="285"/>
    </row>
    <row r="65" spans="1:17" x14ac:dyDescent="0.3">
      <c r="A65" s="275"/>
      <c r="B65" s="275" t="s">
        <v>396</v>
      </c>
      <c r="C65" s="277" t="s">
        <v>397</v>
      </c>
      <c r="D65" s="277" t="s">
        <v>397</v>
      </c>
      <c r="E65" s="278">
        <v>10876</v>
      </c>
      <c r="F65" s="278">
        <v>30377</v>
      </c>
      <c r="G65" s="278">
        <v>798</v>
      </c>
      <c r="H65" s="278">
        <v>4</v>
      </c>
      <c r="I65" s="278">
        <v>4118</v>
      </c>
      <c r="J65" s="278">
        <v>2665</v>
      </c>
      <c r="K65" s="278">
        <v>5982</v>
      </c>
      <c r="L65" s="278">
        <v>18724</v>
      </c>
      <c r="M65" s="278">
        <v>382</v>
      </c>
      <c r="N65" s="278">
        <v>1228</v>
      </c>
      <c r="O65" s="278">
        <v>76108</v>
      </c>
      <c r="Q65" s="279">
        <f>SUM(E65:N65)</f>
        <v>75154</v>
      </c>
    </row>
    <row r="66" spans="1:17" x14ac:dyDescent="0.3">
      <c r="A66" s="275"/>
      <c r="B66" s="25" t="s">
        <v>398</v>
      </c>
      <c r="C66" s="277" t="s">
        <v>397</v>
      </c>
      <c r="D66" s="277" t="s">
        <v>397</v>
      </c>
      <c r="E66" s="278">
        <v>304</v>
      </c>
      <c r="F66" s="278">
        <v>480</v>
      </c>
      <c r="G66" s="278">
        <v>21</v>
      </c>
      <c r="H66" s="278">
        <v>0</v>
      </c>
      <c r="I66" s="278">
        <v>188</v>
      </c>
      <c r="J66" s="278">
        <v>72</v>
      </c>
      <c r="K66" s="278">
        <v>153</v>
      </c>
      <c r="L66" s="278">
        <v>1316</v>
      </c>
      <c r="M66" s="278">
        <v>7</v>
      </c>
      <c r="N66" s="278">
        <v>152</v>
      </c>
      <c r="O66" s="278">
        <v>2731</v>
      </c>
    </row>
    <row r="67" spans="1:17" x14ac:dyDescent="0.3">
      <c r="A67" s="275"/>
      <c r="B67" s="25" t="s">
        <v>399</v>
      </c>
      <c r="C67" s="277" t="s">
        <v>397</v>
      </c>
      <c r="D67" s="277" t="s">
        <v>397</v>
      </c>
      <c r="E67" s="278">
        <v>49</v>
      </c>
      <c r="F67" s="278">
        <v>0</v>
      </c>
      <c r="G67" s="278" t="s">
        <v>397</v>
      </c>
      <c r="H67" s="278">
        <v>0</v>
      </c>
      <c r="I67" s="278">
        <v>197</v>
      </c>
      <c r="J67" s="278">
        <v>361</v>
      </c>
      <c r="K67" s="278">
        <v>992</v>
      </c>
      <c r="L67" s="278">
        <v>542</v>
      </c>
      <c r="M67" s="278">
        <v>8</v>
      </c>
      <c r="N67" s="278">
        <v>0</v>
      </c>
      <c r="O67" s="278">
        <v>2172</v>
      </c>
    </row>
    <row r="68" spans="1:17" x14ac:dyDescent="0.3">
      <c r="A68" s="275"/>
      <c r="B68" s="25" t="s">
        <v>400</v>
      </c>
      <c r="C68" s="277" t="s">
        <v>397</v>
      </c>
      <c r="D68" s="277" t="s">
        <v>397</v>
      </c>
      <c r="E68" s="278">
        <v>294</v>
      </c>
      <c r="F68" s="278">
        <v>286</v>
      </c>
      <c r="G68" s="278">
        <v>5</v>
      </c>
      <c r="H68" s="278">
        <v>0</v>
      </c>
      <c r="I68" s="278">
        <v>47</v>
      </c>
      <c r="J68" s="278">
        <v>50</v>
      </c>
      <c r="K68" s="278">
        <v>48</v>
      </c>
      <c r="L68" s="278">
        <v>458</v>
      </c>
      <c r="M68" s="278">
        <v>38</v>
      </c>
      <c r="N68" s="278">
        <v>10</v>
      </c>
      <c r="O68" s="278">
        <v>1314</v>
      </c>
    </row>
    <row r="69" spans="1:17" x14ac:dyDescent="0.3">
      <c r="A69" s="275"/>
      <c r="B69" s="25" t="s">
        <v>91</v>
      </c>
      <c r="C69" s="277" t="s">
        <v>397</v>
      </c>
      <c r="D69" s="277" t="s">
        <v>397</v>
      </c>
      <c r="E69" s="278">
        <v>1956</v>
      </c>
      <c r="F69" s="278">
        <v>4369</v>
      </c>
      <c r="G69" s="278">
        <v>67</v>
      </c>
      <c r="H69" s="278">
        <v>3</v>
      </c>
      <c r="I69" s="278">
        <v>865</v>
      </c>
      <c r="J69" s="278">
        <v>360</v>
      </c>
      <c r="K69" s="278">
        <v>789</v>
      </c>
      <c r="L69" s="278">
        <v>3355</v>
      </c>
      <c r="M69" s="278">
        <v>28</v>
      </c>
      <c r="N69" s="278">
        <v>151</v>
      </c>
      <c r="O69" s="278">
        <v>12112</v>
      </c>
    </row>
    <row r="70" spans="1:17" x14ac:dyDescent="0.3">
      <c r="A70" s="275"/>
      <c r="B70" s="25" t="s">
        <v>90</v>
      </c>
      <c r="C70" s="277" t="s">
        <v>397</v>
      </c>
      <c r="D70" s="277" t="s">
        <v>397</v>
      </c>
      <c r="E70" s="278">
        <v>1071</v>
      </c>
      <c r="F70" s="278">
        <v>1250</v>
      </c>
      <c r="G70" s="278">
        <v>151</v>
      </c>
      <c r="H70" s="278">
        <v>1</v>
      </c>
      <c r="I70" s="278">
        <v>743</v>
      </c>
      <c r="J70" s="278">
        <v>376</v>
      </c>
      <c r="K70" s="278">
        <v>1184</v>
      </c>
      <c r="L70" s="278">
        <v>3791</v>
      </c>
      <c r="M70" s="278">
        <v>55</v>
      </c>
      <c r="N70" s="278">
        <v>482</v>
      </c>
      <c r="O70" s="278">
        <v>9328</v>
      </c>
    </row>
    <row r="71" spans="1:17" x14ac:dyDescent="0.3">
      <c r="A71" s="275"/>
      <c r="B71" s="25" t="s">
        <v>401</v>
      </c>
      <c r="C71" s="277" t="s">
        <v>397</v>
      </c>
      <c r="D71" s="277" t="s">
        <v>397</v>
      </c>
      <c r="E71" s="278">
        <v>705</v>
      </c>
      <c r="F71" s="278">
        <v>1439</v>
      </c>
      <c r="G71" s="278">
        <v>83</v>
      </c>
      <c r="H71" s="278">
        <v>0</v>
      </c>
      <c r="I71" s="278">
        <v>576</v>
      </c>
      <c r="J71" s="278">
        <v>569</v>
      </c>
      <c r="K71" s="278">
        <v>937</v>
      </c>
      <c r="L71" s="278">
        <v>2760</v>
      </c>
      <c r="M71" s="278">
        <v>74</v>
      </c>
      <c r="N71" s="278">
        <v>12</v>
      </c>
      <c r="O71" s="278">
        <v>7202</v>
      </c>
    </row>
    <row r="72" spans="1:17" x14ac:dyDescent="0.3">
      <c r="A72" s="275"/>
      <c r="B72" s="25" t="s">
        <v>402</v>
      </c>
      <c r="C72" s="277" t="s">
        <v>397</v>
      </c>
      <c r="D72" s="277" t="s">
        <v>397</v>
      </c>
      <c r="E72" s="278">
        <v>823</v>
      </c>
      <c r="F72" s="278">
        <v>2833</v>
      </c>
      <c r="G72" s="278">
        <v>164</v>
      </c>
      <c r="H72" s="278">
        <v>0</v>
      </c>
      <c r="I72" s="278">
        <v>229</v>
      </c>
      <c r="J72" s="278">
        <v>71</v>
      </c>
      <c r="K72" s="278">
        <v>218</v>
      </c>
      <c r="L72" s="278">
        <v>728</v>
      </c>
      <c r="M72" s="278">
        <v>10</v>
      </c>
      <c r="N72" s="278">
        <v>22</v>
      </c>
      <c r="O72" s="278">
        <v>5150</v>
      </c>
    </row>
    <row r="73" spans="1:17" x14ac:dyDescent="0.3">
      <c r="A73" s="275"/>
      <c r="B73" s="25" t="s">
        <v>403</v>
      </c>
      <c r="C73" s="277" t="s">
        <v>397</v>
      </c>
      <c r="D73" s="277" t="s">
        <v>397</v>
      </c>
      <c r="E73" s="278">
        <v>787</v>
      </c>
      <c r="F73" s="278">
        <v>1152</v>
      </c>
      <c r="G73" s="278">
        <v>113</v>
      </c>
      <c r="H73" s="278">
        <v>0</v>
      </c>
      <c r="I73" s="278">
        <v>666</v>
      </c>
      <c r="J73" s="278">
        <v>524</v>
      </c>
      <c r="K73" s="278">
        <v>596</v>
      </c>
      <c r="L73" s="278">
        <v>2116</v>
      </c>
      <c r="M73" s="278">
        <v>48</v>
      </c>
      <c r="N73" s="278">
        <v>57</v>
      </c>
      <c r="O73" s="278">
        <v>6164</v>
      </c>
    </row>
    <row r="74" spans="1:17" x14ac:dyDescent="0.3">
      <c r="A74" s="275"/>
      <c r="B74" s="25" t="s">
        <v>93</v>
      </c>
      <c r="C74" s="277" t="s">
        <v>397</v>
      </c>
      <c r="D74" s="277" t="s">
        <v>397</v>
      </c>
      <c r="E74" s="278">
        <v>2234</v>
      </c>
      <c r="F74" s="278">
        <v>9463</v>
      </c>
      <c r="G74" s="278">
        <v>23</v>
      </c>
      <c r="H74" s="278">
        <v>0</v>
      </c>
      <c r="I74" s="278">
        <v>212</v>
      </c>
      <c r="J74" s="278">
        <v>40</v>
      </c>
      <c r="K74" s="278">
        <v>253</v>
      </c>
      <c r="L74" s="278">
        <v>895</v>
      </c>
      <c r="M74" s="278">
        <v>14</v>
      </c>
      <c r="N74" s="278">
        <v>24</v>
      </c>
      <c r="O74" s="278">
        <v>13220</v>
      </c>
    </row>
    <row r="75" spans="1:17" x14ac:dyDescent="0.3">
      <c r="A75" s="275"/>
      <c r="B75" s="25" t="s">
        <v>404</v>
      </c>
      <c r="C75" s="277" t="s">
        <v>397</v>
      </c>
      <c r="D75" s="277" t="s">
        <v>397</v>
      </c>
      <c r="E75" s="278">
        <v>175</v>
      </c>
      <c r="F75" s="278">
        <v>237</v>
      </c>
      <c r="G75" s="278">
        <v>13</v>
      </c>
      <c r="H75" s="278">
        <v>0</v>
      </c>
      <c r="I75" s="278">
        <v>96</v>
      </c>
      <c r="J75" s="278">
        <v>101</v>
      </c>
      <c r="K75" s="278">
        <v>289</v>
      </c>
      <c r="L75" s="278">
        <v>926</v>
      </c>
      <c r="M75" s="278">
        <v>31</v>
      </c>
      <c r="N75" s="278">
        <v>43</v>
      </c>
      <c r="O75" s="278">
        <v>1930</v>
      </c>
    </row>
    <row r="76" spans="1:17" x14ac:dyDescent="0.3">
      <c r="A76" s="275"/>
      <c r="B76" s="25" t="s">
        <v>405</v>
      </c>
      <c r="C76" s="277" t="s">
        <v>397</v>
      </c>
      <c r="D76" s="277" t="s">
        <v>397</v>
      </c>
      <c r="E76" s="278">
        <v>360</v>
      </c>
      <c r="F76" s="278">
        <v>961</v>
      </c>
      <c r="G76" s="278">
        <v>68</v>
      </c>
      <c r="H76" s="278">
        <v>0</v>
      </c>
      <c r="I76" s="278">
        <v>18</v>
      </c>
      <c r="J76" s="278">
        <v>38</v>
      </c>
      <c r="K76" s="278">
        <v>122</v>
      </c>
      <c r="L76" s="278">
        <v>436</v>
      </c>
      <c r="M76" s="278">
        <v>34</v>
      </c>
      <c r="N76" s="278">
        <v>19</v>
      </c>
      <c r="O76" s="278">
        <v>2101</v>
      </c>
    </row>
    <row r="77" spans="1:17" x14ac:dyDescent="0.3">
      <c r="A77" s="275"/>
      <c r="B77" s="25" t="s">
        <v>406</v>
      </c>
      <c r="C77" s="277" t="s">
        <v>397</v>
      </c>
      <c r="D77" s="277" t="s">
        <v>397</v>
      </c>
      <c r="E77" s="278">
        <v>74</v>
      </c>
      <c r="F77" s="278">
        <v>141</v>
      </c>
      <c r="G77" s="278">
        <v>18</v>
      </c>
      <c r="H77" s="278">
        <v>0</v>
      </c>
      <c r="I77" s="278">
        <v>36</v>
      </c>
      <c r="J77" s="278" t="s">
        <v>397</v>
      </c>
      <c r="K77" s="278">
        <v>18</v>
      </c>
      <c r="L77" s="278">
        <v>199</v>
      </c>
      <c r="M77" s="278">
        <v>0</v>
      </c>
      <c r="N77" s="278">
        <v>0</v>
      </c>
      <c r="O77" s="278">
        <v>491</v>
      </c>
    </row>
    <row r="78" spans="1:17" x14ac:dyDescent="0.3">
      <c r="A78" s="275"/>
      <c r="B78" s="25" t="s">
        <v>407</v>
      </c>
      <c r="C78" s="277" t="s">
        <v>397</v>
      </c>
      <c r="D78" s="277" t="s">
        <v>397</v>
      </c>
      <c r="E78" s="278">
        <v>461</v>
      </c>
      <c r="F78" s="278">
        <v>1872</v>
      </c>
      <c r="G78" s="278">
        <v>19</v>
      </c>
      <c r="H78" s="278">
        <v>0</v>
      </c>
      <c r="I78" s="278">
        <v>38</v>
      </c>
      <c r="J78" s="278">
        <v>4</v>
      </c>
      <c r="K78" s="278">
        <v>39</v>
      </c>
      <c r="L78" s="278">
        <v>138</v>
      </c>
      <c r="M78" s="278">
        <v>1</v>
      </c>
      <c r="N78" s="278">
        <v>21</v>
      </c>
      <c r="O78" s="278">
        <v>2598</v>
      </c>
    </row>
    <row r="79" spans="1:17" x14ac:dyDescent="0.3">
      <c r="A79" s="275"/>
      <c r="B79" s="25" t="s">
        <v>408</v>
      </c>
      <c r="C79" s="277" t="s">
        <v>397</v>
      </c>
      <c r="D79" s="277" t="s">
        <v>397</v>
      </c>
      <c r="E79" s="278">
        <v>580</v>
      </c>
      <c r="F79" s="278">
        <v>1921</v>
      </c>
      <c r="G79" s="278">
        <v>1</v>
      </c>
      <c r="H79" s="278">
        <v>0</v>
      </c>
      <c r="I79" s="278">
        <v>28</v>
      </c>
      <c r="J79" s="278" t="s">
        <v>397</v>
      </c>
      <c r="K79" s="278">
        <v>24</v>
      </c>
      <c r="L79" s="278">
        <v>74</v>
      </c>
      <c r="M79" s="278" t="s">
        <v>397</v>
      </c>
      <c r="N79" s="278">
        <v>87</v>
      </c>
      <c r="O79" s="278">
        <v>2720</v>
      </c>
    </row>
    <row r="80" spans="1:17" x14ac:dyDescent="0.3">
      <c r="A80" s="275"/>
      <c r="B80" s="25" t="s">
        <v>409</v>
      </c>
      <c r="C80" s="277" t="s">
        <v>397</v>
      </c>
      <c r="D80" s="277" t="s">
        <v>397</v>
      </c>
      <c r="E80" s="278">
        <v>129</v>
      </c>
      <c r="F80" s="278">
        <v>722</v>
      </c>
      <c r="G80" s="278">
        <v>7</v>
      </c>
      <c r="H80" s="278">
        <v>0</v>
      </c>
      <c r="I80" s="278">
        <v>43</v>
      </c>
      <c r="J80" s="278">
        <v>17</v>
      </c>
      <c r="K80" s="278">
        <v>32</v>
      </c>
      <c r="L80" s="278">
        <v>241</v>
      </c>
      <c r="M80" s="278">
        <v>6</v>
      </c>
      <c r="N80" s="278">
        <v>11</v>
      </c>
      <c r="O80" s="278">
        <v>1286</v>
      </c>
    </row>
    <row r="81" spans="1:15" x14ac:dyDescent="0.3">
      <c r="A81" s="275"/>
      <c r="B81" s="25" t="s">
        <v>410</v>
      </c>
      <c r="C81" s="277" t="s">
        <v>397</v>
      </c>
      <c r="D81" s="277" t="s">
        <v>397</v>
      </c>
      <c r="E81" s="278">
        <v>107</v>
      </c>
      <c r="F81" s="278">
        <v>237</v>
      </c>
      <c r="G81" s="278">
        <v>3</v>
      </c>
      <c r="H81" s="278">
        <v>0</v>
      </c>
      <c r="I81" s="278">
        <v>36</v>
      </c>
      <c r="J81" s="278">
        <v>4</v>
      </c>
      <c r="K81" s="278">
        <v>87</v>
      </c>
      <c r="L81" s="278">
        <v>174</v>
      </c>
      <c r="M81" s="278">
        <v>4</v>
      </c>
      <c r="N81" s="278">
        <v>9</v>
      </c>
      <c r="O81" s="278">
        <v>679</v>
      </c>
    </row>
    <row r="82" spans="1:15" x14ac:dyDescent="0.3">
      <c r="A82" s="275"/>
      <c r="B82" s="25" t="s">
        <v>411</v>
      </c>
      <c r="C82" s="277" t="s">
        <v>397</v>
      </c>
      <c r="D82" s="277" t="s">
        <v>397</v>
      </c>
      <c r="E82" s="278">
        <v>13</v>
      </c>
      <c r="F82" s="278">
        <v>0</v>
      </c>
      <c r="G82" s="278" t="s">
        <v>397</v>
      </c>
      <c r="H82" s="278">
        <v>0</v>
      </c>
      <c r="I82" s="278">
        <v>0</v>
      </c>
      <c r="J82" s="278">
        <v>0</v>
      </c>
      <c r="K82" s="278">
        <v>0</v>
      </c>
      <c r="L82" s="278">
        <v>21</v>
      </c>
      <c r="M82" s="278">
        <v>1</v>
      </c>
      <c r="N82" s="278">
        <v>0</v>
      </c>
      <c r="O82" s="278">
        <v>49</v>
      </c>
    </row>
    <row r="83" spans="1:15" x14ac:dyDescent="0.3">
      <c r="A83" s="275"/>
      <c r="B83" s="25" t="s">
        <v>412</v>
      </c>
      <c r="C83" s="277" t="s">
        <v>397</v>
      </c>
      <c r="D83" s="277" t="s">
        <v>397</v>
      </c>
      <c r="E83" s="278">
        <v>133</v>
      </c>
      <c r="F83" s="278">
        <v>333</v>
      </c>
      <c r="G83" s="278">
        <v>0</v>
      </c>
      <c r="H83" s="278">
        <v>0</v>
      </c>
      <c r="I83" s="278">
        <v>11</v>
      </c>
      <c r="J83" s="278">
        <v>4</v>
      </c>
      <c r="K83" s="278">
        <v>34</v>
      </c>
      <c r="L83" s="278">
        <v>162</v>
      </c>
      <c r="M83" s="278" t="s">
        <v>397</v>
      </c>
      <c r="N83" s="278">
        <v>10</v>
      </c>
      <c r="O83" s="278">
        <v>692</v>
      </c>
    </row>
    <row r="84" spans="1:15" x14ac:dyDescent="0.3">
      <c r="A84" s="275"/>
      <c r="B84" s="25" t="s">
        <v>413</v>
      </c>
      <c r="C84" s="277" t="s">
        <v>397</v>
      </c>
      <c r="D84" s="277" t="s">
        <v>397</v>
      </c>
      <c r="E84" s="278">
        <v>24</v>
      </c>
      <c r="F84" s="278">
        <v>94</v>
      </c>
      <c r="G84" s="278" t="s">
        <v>397</v>
      </c>
      <c r="H84" s="278">
        <v>0</v>
      </c>
      <c r="I84" s="278">
        <v>0</v>
      </c>
      <c r="J84" s="278">
        <v>0</v>
      </c>
      <c r="K84" s="278">
        <v>4</v>
      </c>
      <c r="L84" s="278">
        <v>16</v>
      </c>
      <c r="M84" s="278">
        <v>0</v>
      </c>
      <c r="N84" s="278">
        <v>0</v>
      </c>
      <c r="O84" s="278">
        <v>139</v>
      </c>
    </row>
    <row r="85" spans="1:15" x14ac:dyDescent="0.3">
      <c r="A85" s="275"/>
      <c r="B85" s="25" t="s">
        <v>414</v>
      </c>
      <c r="C85" s="277" t="s">
        <v>397</v>
      </c>
      <c r="D85" s="277" t="s">
        <v>397</v>
      </c>
      <c r="E85" s="278">
        <v>38</v>
      </c>
      <c r="F85" s="278">
        <v>94</v>
      </c>
      <c r="G85" s="278">
        <v>0</v>
      </c>
      <c r="H85" s="278">
        <v>0</v>
      </c>
      <c r="I85" s="278">
        <v>0</v>
      </c>
      <c r="J85" s="278" t="s">
        <v>397</v>
      </c>
      <c r="K85" s="278">
        <v>24</v>
      </c>
      <c r="L85" s="278">
        <v>42</v>
      </c>
      <c r="M85" s="278">
        <v>0</v>
      </c>
      <c r="N85" s="278">
        <v>9</v>
      </c>
      <c r="O85" s="278">
        <v>211</v>
      </c>
    </row>
    <row r="86" spans="1:15" x14ac:dyDescent="0.3">
      <c r="A86" s="275"/>
      <c r="B86" s="25" t="s">
        <v>415</v>
      </c>
      <c r="C86" s="277" t="s">
        <v>397</v>
      </c>
      <c r="D86" s="277" t="s">
        <v>397</v>
      </c>
      <c r="E86" s="278">
        <v>13</v>
      </c>
      <c r="F86" s="278">
        <v>47</v>
      </c>
      <c r="G86" s="278">
        <v>0</v>
      </c>
      <c r="H86" s="278">
        <v>0</v>
      </c>
      <c r="I86" s="278">
        <v>0</v>
      </c>
      <c r="J86" s="278">
        <v>0</v>
      </c>
      <c r="K86" s="278">
        <v>4</v>
      </c>
      <c r="L86" s="278">
        <v>0</v>
      </c>
      <c r="M86" s="278" t="s">
        <v>397</v>
      </c>
      <c r="N86" s="278" t="s">
        <v>397</v>
      </c>
      <c r="O86" s="278">
        <v>71</v>
      </c>
    </row>
    <row r="87" spans="1:15" x14ac:dyDescent="0.3">
      <c r="B87" s="25" t="s">
        <v>416</v>
      </c>
      <c r="C87" s="277" t="s">
        <v>397</v>
      </c>
      <c r="D87" s="277" t="s">
        <v>397</v>
      </c>
      <c r="E87" s="281">
        <v>135</v>
      </c>
      <c r="F87" s="281">
        <v>141</v>
      </c>
      <c r="G87" s="281">
        <v>4</v>
      </c>
      <c r="H87" s="281">
        <v>0</v>
      </c>
      <c r="I87" s="281">
        <v>111</v>
      </c>
      <c r="J87" s="281">
        <v>32</v>
      </c>
      <c r="K87" s="281">
        <v>81</v>
      </c>
      <c r="L87" s="281">
        <v>145</v>
      </c>
      <c r="M87" s="281">
        <v>0</v>
      </c>
      <c r="N87" s="281">
        <v>60</v>
      </c>
      <c r="O87" s="281">
        <v>712</v>
      </c>
    </row>
    <row r="88" spans="1:15" x14ac:dyDescent="0.3">
      <c r="B88" s="25" t="s">
        <v>417</v>
      </c>
      <c r="C88" s="277" t="s">
        <v>397</v>
      </c>
      <c r="D88" s="277" t="s">
        <v>397</v>
      </c>
      <c r="E88" s="281">
        <v>305</v>
      </c>
      <c r="F88" s="281">
        <v>674</v>
      </c>
      <c r="G88" s="281">
        <v>13</v>
      </c>
      <c r="H88" s="281" t="s">
        <v>397</v>
      </c>
      <c r="I88" s="281">
        <v>357</v>
      </c>
      <c r="J88" s="281">
        <v>615</v>
      </c>
      <c r="K88" s="281">
        <v>271</v>
      </c>
      <c r="L88" s="281">
        <v>1322</v>
      </c>
      <c r="M88" s="281">
        <v>5</v>
      </c>
      <c r="N88" s="281">
        <v>19</v>
      </c>
      <c r="O88" s="281">
        <v>3604</v>
      </c>
    </row>
    <row r="89" spans="1:15" x14ac:dyDescent="0.3">
      <c r="B89" s="25" t="s">
        <v>418</v>
      </c>
      <c r="C89" s="277" t="s">
        <v>397</v>
      </c>
      <c r="D89" s="277" t="s">
        <v>397</v>
      </c>
      <c r="E89" s="281">
        <v>387</v>
      </c>
      <c r="F89" s="281">
        <v>721</v>
      </c>
      <c r="G89" s="281">
        <v>4</v>
      </c>
      <c r="H89" s="281">
        <v>0</v>
      </c>
      <c r="I89" s="281">
        <v>33</v>
      </c>
      <c r="J89" s="281">
        <v>4</v>
      </c>
      <c r="K89" s="281">
        <v>15</v>
      </c>
      <c r="L89" s="281">
        <v>136</v>
      </c>
      <c r="M89" s="281" t="s">
        <v>397</v>
      </c>
      <c r="N89" s="281">
        <v>36</v>
      </c>
      <c r="O89" s="281">
        <v>1341</v>
      </c>
    </row>
    <row r="90" spans="1:15" x14ac:dyDescent="0.3">
      <c r="B90" s="25" t="s">
        <v>419</v>
      </c>
      <c r="C90" s="277" t="s">
        <v>397</v>
      </c>
      <c r="D90" s="277" t="s">
        <v>397</v>
      </c>
      <c r="E90" s="281">
        <v>20</v>
      </c>
      <c r="F90" s="281">
        <v>94</v>
      </c>
      <c r="G90" s="281">
        <v>0</v>
      </c>
      <c r="H90" s="281">
        <v>0</v>
      </c>
      <c r="I90" s="281">
        <v>0</v>
      </c>
      <c r="J90" s="281">
        <v>0</v>
      </c>
      <c r="K90" s="281">
        <v>5</v>
      </c>
      <c r="L90" s="281">
        <v>30</v>
      </c>
      <c r="M90" s="281" t="s">
        <v>397</v>
      </c>
      <c r="N90" s="281">
        <v>9</v>
      </c>
      <c r="O90" s="281">
        <v>162</v>
      </c>
    </row>
    <row r="91" spans="1:15" x14ac:dyDescent="0.3">
      <c r="B91" s="25" t="s">
        <v>420</v>
      </c>
      <c r="C91" s="277" t="s">
        <v>397</v>
      </c>
      <c r="D91" s="277" t="s">
        <v>397</v>
      </c>
      <c r="E91" s="281">
        <v>78</v>
      </c>
      <c r="F91" s="281">
        <v>140</v>
      </c>
      <c r="G91" s="281">
        <v>0</v>
      </c>
      <c r="H91" s="281">
        <v>0</v>
      </c>
      <c r="I91" s="281">
        <v>30</v>
      </c>
      <c r="J91" s="281" t="s">
        <v>397</v>
      </c>
      <c r="K91" s="281">
        <v>8</v>
      </c>
      <c r="L91" s="281">
        <v>103</v>
      </c>
      <c r="M91" s="281">
        <v>0</v>
      </c>
      <c r="N91" s="281">
        <v>35</v>
      </c>
      <c r="O91" s="281">
        <v>407</v>
      </c>
    </row>
    <row r="92" spans="1:15" x14ac:dyDescent="0.3">
      <c r="B92" s="25" t="s">
        <v>421</v>
      </c>
      <c r="C92" s="277" t="s">
        <v>397</v>
      </c>
      <c r="D92" s="277" t="s">
        <v>397</v>
      </c>
      <c r="E92" s="281">
        <v>252</v>
      </c>
      <c r="F92" s="281">
        <v>628</v>
      </c>
      <c r="G92" s="281">
        <v>1</v>
      </c>
      <c r="H92" s="281" t="s">
        <v>397</v>
      </c>
      <c r="I92" s="281">
        <v>86</v>
      </c>
      <c r="J92" s="281">
        <v>30</v>
      </c>
      <c r="K92" s="281">
        <v>145</v>
      </c>
      <c r="L92" s="281">
        <v>498</v>
      </c>
      <c r="M92" s="281">
        <v>33</v>
      </c>
      <c r="N92" s="281">
        <v>62</v>
      </c>
      <c r="O92" s="281">
        <v>1745</v>
      </c>
    </row>
    <row r="93" spans="1:15" x14ac:dyDescent="0.3">
      <c r="B93" s="25" t="s">
        <v>422</v>
      </c>
      <c r="C93" s="277" t="s">
        <v>397</v>
      </c>
      <c r="D93" s="277" t="s">
        <v>397</v>
      </c>
      <c r="E93" s="281" t="s">
        <v>397</v>
      </c>
      <c r="F93" s="281">
        <v>47</v>
      </c>
      <c r="G93" s="281">
        <v>4</v>
      </c>
      <c r="H93" s="281">
        <v>0</v>
      </c>
      <c r="I93" s="281">
        <v>12</v>
      </c>
      <c r="J93" s="281">
        <v>4</v>
      </c>
      <c r="K93" s="281">
        <v>0</v>
      </c>
      <c r="L93" s="281">
        <v>25</v>
      </c>
      <c r="M93" s="281">
        <v>0</v>
      </c>
      <c r="N93" s="281">
        <v>23</v>
      </c>
      <c r="O93" s="281">
        <v>122</v>
      </c>
    </row>
    <row r="94" spans="1:15" x14ac:dyDescent="0.3">
      <c r="B94" s="25" t="s">
        <v>423</v>
      </c>
      <c r="C94" s="277" t="s">
        <v>397</v>
      </c>
      <c r="D94" s="277" t="s">
        <v>397</v>
      </c>
      <c r="E94" s="281">
        <v>117</v>
      </c>
      <c r="F94" s="281">
        <v>579</v>
      </c>
      <c r="G94" s="281">
        <v>0</v>
      </c>
      <c r="H94" s="281">
        <v>0</v>
      </c>
      <c r="I94" s="281">
        <v>0</v>
      </c>
      <c r="J94" s="281" t="s">
        <v>397</v>
      </c>
      <c r="K94" s="281">
        <v>9</v>
      </c>
      <c r="L94" s="281">
        <v>69</v>
      </c>
      <c r="M94" s="281">
        <v>0</v>
      </c>
      <c r="N94" s="281">
        <v>12</v>
      </c>
      <c r="O94" s="281">
        <v>790</v>
      </c>
    </row>
    <row r="95" spans="1:15" x14ac:dyDescent="0.3">
      <c r="B95" s="25" t="s">
        <v>424</v>
      </c>
      <c r="C95" s="277" t="s">
        <v>397</v>
      </c>
      <c r="D95" s="277" t="s">
        <v>397</v>
      </c>
      <c r="E95" s="281">
        <v>1997</v>
      </c>
      <c r="F95" s="281">
        <v>5569</v>
      </c>
      <c r="G95" s="281">
        <v>89</v>
      </c>
      <c r="H95" s="281">
        <v>187</v>
      </c>
      <c r="I95" s="281">
        <v>3284</v>
      </c>
      <c r="J95" s="281">
        <v>3684</v>
      </c>
      <c r="K95" s="281">
        <v>2004</v>
      </c>
      <c r="L95" s="281">
        <v>12005</v>
      </c>
      <c r="M95" s="281">
        <v>163</v>
      </c>
      <c r="N95" s="281">
        <v>545</v>
      </c>
      <c r="O95" s="281">
        <v>29688</v>
      </c>
    </row>
    <row r="96" spans="1:15" x14ac:dyDescent="0.3">
      <c r="B96" s="25" t="s">
        <v>425</v>
      </c>
      <c r="C96" s="277" t="s">
        <v>397</v>
      </c>
      <c r="D96" s="277" t="s">
        <v>397</v>
      </c>
      <c r="E96" s="281">
        <v>416</v>
      </c>
      <c r="F96" s="281">
        <v>436</v>
      </c>
      <c r="G96" s="281">
        <v>10</v>
      </c>
      <c r="H96" s="281">
        <v>0</v>
      </c>
      <c r="I96" s="281">
        <v>38</v>
      </c>
      <c r="J96" s="281">
        <v>4</v>
      </c>
      <c r="K96" s="281">
        <v>59</v>
      </c>
      <c r="L96" s="281">
        <v>569</v>
      </c>
      <c r="M96" s="281">
        <v>3</v>
      </c>
      <c r="N96" s="281">
        <v>45</v>
      </c>
      <c r="O96" s="281">
        <v>1707</v>
      </c>
    </row>
    <row r="97" spans="2:15" x14ac:dyDescent="0.3">
      <c r="B97" s="25" t="s">
        <v>426</v>
      </c>
      <c r="C97" s="277" t="s">
        <v>397</v>
      </c>
      <c r="D97" s="277" t="s">
        <v>397</v>
      </c>
      <c r="E97" s="281">
        <v>262</v>
      </c>
      <c r="F97" s="281">
        <v>190</v>
      </c>
      <c r="G97" s="281">
        <v>8</v>
      </c>
      <c r="H97" s="281">
        <v>0</v>
      </c>
      <c r="I97" s="281">
        <v>355</v>
      </c>
      <c r="J97" s="281">
        <v>4</v>
      </c>
      <c r="K97" s="281">
        <v>104</v>
      </c>
      <c r="L97" s="281">
        <v>756</v>
      </c>
      <c r="M97" s="281">
        <v>4</v>
      </c>
      <c r="N97" s="281">
        <v>15</v>
      </c>
      <c r="O97" s="281">
        <v>1701</v>
      </c>
    </row>
    <row r="98" spans="2:15" x14ac:dyDescent="0.3">
      <c r="B98" s="25" t="s">
        <v>427</v>
      </c>
      <c r="C98" s="277" t="s">
        <v>397</v>
      </c>
      <c r="D98" s="277" t="s">
        <v>397</v>
      </c>
      <c r="E98" s="281">
        <v>334</v>
      </c>
      <c r="F98" s="281">
        <v>964</v>
      </c>
      <c r="G98" s="281">
        <v>2</v>
      </c>
      <c r="H98" s="281">
        <v>0</v>
      </c>
      <c r="I98" s="281">
        <v>96</v>
      </c>
      <c r="J98" s="281">
        <v>47</v>
      </c>
      <c r="K98" s="281">
        <v>493</v>
      </c>
      <c r="L98" s="281">
        <v>1269</v>
      </c>
      <c r="M98" s="281">
        <v>19</v>
      </c>
      <c r="N98" s="281">
        <v>52</v>
      </c>
      <c r="O98" s="281">
        <v>3281</v>
      </c>
    </row>
    <row r="99" spans="2:15" x14ac:dyDescent="0.3">
      <c r="B99" s="25" t="s">
        <v>428</v>
      </c>
      <c r="C99" s="277" t="s">
        <v>397</v>
      </c>
      <c r="D99" s="277" t="s">
        <v>397</v>
      </c>
      <c r="E99" s="281" t="s">
        <v>397</v>
      </c>
      <c r="F99" s="281">
        <v>46</v>
      </c>
      <c r="G99" s="281">
        <v>0</v>
      </c>
      <c r="H99" s="281">
        <v>0</v>
      </c>
      <c r="I99" s="281">
        <v>0</v>
      </c>
      <c r="J99" s="281">
        <v>0</v>
      </c>
      <c r="K99" s="281">
        <v>0</v>
      </c>
      <c r="L99" s="281">
        <v>0</v>
      </c>
      <c r="M99" s="281">
        <v>0</v>
      </c>
      <c r="N99" s="281">
        <v>7</v>
      </c>
      <c r="O99" s="281">
        <v>62</v>
      </c>
    </row>
    <row r="100" spans="2:15" x14ac:dyDescent="0.3">
      <c r="B100" s="25" t="s">
        <v>429</v>
      </c>
      <c r="C100" s="277" t="s">
        <v>397</v>
      </c>
      <c r="D100" s="277" t="s">
        <v>397</v>
      </c>
      <c r="E100" s="281">
        <v>256</v>
      </c>
      <c r="F100" s="281">
        <v>286</v>
      </c>
      <c r="G100" s="281">
        <v>1</v>
      </c>
      <c r="H100" s="281">
        <v>0</v>
      </c>
      <c r="I100" s="281">
        <v>959</v>
      </c>
      <c r="J100" s="281">
        <v>894</v>
      </c>
      <c r="K100" s="281">
        <v>49</v>
      </c>
      <c r="L100" s="281">
        <v>742</v>
      </c>
      <c r="M100" s="281">
        <v>6</v>
      </c>
      <c r="N100" s="281">
        <v>21</v>
      </c>
      <c r="O100" s="281">
        <v>3237</v>
      </c>
    </row>
    <row r="101" spans="2:15" x14ac:dyDescent="0.3">
      <c r="B101" s="25" t="s">
        <v>430</v>
      </c>
      <c r="C101" s="277" t="s">
        <v>397</v>
      </c>
      <c r="D101" s="277" t="s">
        <v>397</v>
      </c>
      <c r="E101" s="281">
        <v>69</v>
      </c>
      <c r="F101" s="281">
        <v>191</v>
      </c>
      <c r="G101" s="281">
        <v>3</v>
      </c>
      <c r="H101" s="281">
        <v>0</v>
      </c>
      <c r="I101" s="281">
        <v>4</v>
      </c>
      <c r="J101" s="281">
        <v>0</v>
      </c>
      <c r="K101" s="281">
        <v>19</v>
      </c>
      <c r="L101" s="281">
        <v>431</v>
      </c>
      <c r="M101" s="281">
        <v>0</v>
      </c>
      <c r="N101" s="281">
        <v>7</v>
      </c>
      <c r="O101" s="281">
        <v>728</v>
      </c>
    </row>
    <row r="102" spans="2:15" x14ac:dyDescent="0.3">
      <c r="B102" s="25" t="s">
        <v>431</v>
      </c>
      <c r="C102" s="277" t="s">
        <v>397</v>
      </c>
      <c r="D102" s="277" t="s">
        <v>397</v>
      </c>
      <c r="E102" s="281">
        <v>33</v>
      </c>
      <c r="F102" s="281">
        <v>237</v>
      </c>
      <c r="G102" s="281">
        <v>0</v>
      </c>
      <c r="H102" s="281">
        <v>0</v>
      </c>
      <c r="I102" s="281">
        <v>4</v>
      </c>
      <c r="J102" s="281">
        <v>4</v>
      </c>
      <c r="K102" s="281">
        <v>26</v>
      </c>
      <c r="L102" s="281">
        <v>138</v>
      </c>
      <c r="M102" s="281">
        <v>0</v>
      </c>
      <c r="N102" s="281">
        <v>0</v>
      </c>
      <c r="O102" s="281">
        <v>447</v>
      </c>
    </row>
    <row r="103" spans="2:15" x14ac:dyDescent="0.3">
      <c r="B103" s="25" t="s">
        <v>432</v>
      </c>
      <c r="C103" s="277" t="s">
        <v>397</v>
      </c>
      <c r="D103" s="277" t="s">
        <v>397</v>
      </c>
      <c r="E103" s="281">
        <v>64</v>
      </c>
      <c r="F103" s="281">
        <v>191</v>
      </c>
      <c r="G103" s="281" t="s">
        <v>397</v>
      </c>
      <c r="H103" s="281">
        <v>2</v>
      </c>
      <c r="I103" s="281">
        <v>10</v>
      </c>
      <c r="J103" s="281">
        <v>0</v>
      </c>
      <c r="K103" s="281">
        <v>14</v>
      </c>
      <c r="L103" s="281">
        <v>130</v>
      </c>
      <c r="M103" s="281">
        <v>0</v>
      </c>
      <c r="N103" s="281">
        <v>208</v>
      </c>
      <c r="O103" s="281">
        <v>631</v>
      </c>
    </row>
    <row r="104" spans="2:15" x14ac:dyDescent="0.3">
      <c r="B104" s="25" t="s">
        <v>433</v>
      </c>
      <c r="C104" s="277" t="s">
        <v>397</v>
      </c>
      <c r="D104" s="277" t="s">
        <v>397</v>
      </c>
      <c r="E104" s="281">
        <v>179</v>
      </c>
      <c r="F104" s="281">
        <v>141</v>
      </c>
      <c r="G104" s="281">
        <v>5</v>
      </c>
      <c r="H104" s="281">
        <v>0</v>
      </c>
      <c r="I104" s="281">
        <v>235</v>
      </c>
      <c r="J104" s="281">
        <v>17</v>
      </c>
      <c r="K104" s="281">
        <v>77</v>
      </c>
      <c r="L104" s="281">
        <v>1233</v>
      </c>
      <c r="M104" s="281">
        <v>4</v>
      </c>
      <c r="N104" s="281">
        <v>20</v>
      </c>
      <c r="O104" s="281">
        <v>1915</v>
      </c>
    </row>
    <row r="105" spans="2:15" x14ac:dyDescent="0.3">
      <c r="B105" s="25" t="s">
        <v>434</v>
      </c>
      <c r="C105" s="277" t="s">
        <v>397</v>
      </c>
      <c r="D105" s="277" t="s">
        <v>397</v>
      </c>
      <c r="E105" s="281">
        <v>80</v>
      </c>
      <c r="F105" s="281">
        <v>94</v>
      </c>
      <c r="G105" s="281" t="s">
        <v>397</v>
      </c>
      <c r="H105" s="281">
        <v>0</v>
      </c>
      <c r="I105" s="281">
        <v>84</v>
      </c>
      <c r="J105" s="281">
        <v>0</v>
      </c>
      <c r="K105" s="281">
        <v>88</v>
      </c>
      <c r="L105" s="281">
        <v>122</v>
      </c>
      <c r="M105" s="281">
        <v>0</v>
      </c>
      <c r="N105" s="281">
        <v>53</v>
      </c>
      <c r="O105" s="281">
        <v>530</v>
      </c>
    </row>
    <row r="106" spans="2:15" x14ac:dyDescent="0.3">
      <c r="B106" s="25" t="s">
        <v>435</v>
      </c>
      <c r="C106" s="277" t="s">
        <v>397</v>
      </c>
      <c r="D106" s="277" t="s">
        <v>397</v>
      </c>
      <c r="E106" s="281">
        <v>45</v>
      </c>
      <c r="F106" s="281">
        <v>0</v>
      </c>
      <c r="G106" s="281">
        <v>0</v>
      </c>
      <c r="H106" s="281">
        <v>0</v>
      </c>
      <c r="I106" s="281">
        <v>49</v>
      </c>
      <c r="J106" s="281" t="s">
        <v>397</v>
      </c>
      <c r="K106" s="281">
        <v>5</v>
      </c>
      <c r="L106" s="281">
        <v>71</v>
      </c>
      <c r="M106" s="281" t="s">
        <v>397</v>
      </c>
      <c r="N106" s="281">
        <v>7</v>
      </c>
      <c r="O106" s="281">
        <v>182</v>
      </c>
    </row>
    <row r="107" spans="2:15" x14ac:dyDescent="0.3">
      <c r="B107" s="25" t="s">
        <v>436</v>
      </c>
      <c r="C107" s="277" t="s">
        <v>397</v>
      </c>
      <c r="D107" s="277" t="s">
        <v>397</v>
      </c>
      <c r="E107" s="281">
        <v>147</v>
      </c>
      <c r="F107" s="281">
        <v>915</v>
      </c>
      <c r="G107" s="281" t="s">
        <v>397</v>
      </c>
      <c r="H107" s="281">
        <v>0</v>
      </c>
      <c r="I107" s="281">
        <v>4</v>
      </c>
      <c r="J107" s="281">
        <v>10</v>
      </c>
      <c r="K107" s="281">
        <v>4</v>
      </c>
      <c r="L107" s="281">
        <v>51</v>
      </c>
      <c r="M107" s="281" t="s">
        <v>397</v>
      </c>
      <c r="N107" s="281">
        <v>7</v>
      </c>
      <c r="O107" s="281">
        <v>1143</v>
      </c>
    </row>
    <row r="108" spans="2:15" x14ac:dyDescent="0.3">
      <c r="B108" s="25" t="s">
        <v>437</v>
      </c>
      <c r="C108" s="277" t="s">
        <v>397</v>
      </c>
      <c r="D108" s="277" t="s">
        <v>397</v>
      </c>
      <c r="E108" s="281">
        <v>510</v>
      </c>
      <c r="F108" s="281">
        <v>1011</v>
      </c>
      <c r="G108" s="281">
        <v>8</v>
      </c>
      <c r="H108" s="281">
        <v>0</v>
      </c>
      <c r="I108" s="281">
        <v>168</v>
      </c>
      <c r="J108" s="281">
        <v>68</v>
      </c>
      <c r="K108" s="281">
        <v>177</v>
      </c>
      <c r="L108" s="281">
        <v>403</v>
      </c>
      <c r="M108" s="281">
        <v>15</v>
      </c>
      <c r="N108" s="281">
        <v>21</v>
      </c>
      <c r="O108" s="281">
        <v>2393</v>
      </c>
    </row>
    <row r="109" spans="2:15" x14ac:dyDescent="0.3">
      <c r="B109" s="25" t="s">
        <v>438</v>
      </c>
      <c r="C109" s="277" t="s">
        <v>397</v>
      </c>
      <c r="D109" s="277" t="s">
        <v>397</v>
      </c>
      <c r="E109" s="281">
        <v>188</v>
      </c>
      <c r="F109" s="281">
        <v>487</v>
      </c>
      <c r="G109" s="281">
        <v>0</v>
      </c>
      <c r="H109" s="281">
        <v>0</v>
      </c>
      <c r="I109" s="281">
        <v>40</v>
      </c>
      <c r="J109" s="281">
        <v>29</v>
      </c>
      <c r="K109" s="281">
        <v>61</v>
      </c>
      <c r="L109" s="281">
        <v>552</v>
      </c>
      <c r="M109" s="281" t="s">
        <v>397</v>
      </c>
      <c r="N109" s="281">
        <v>24</v>
      </c>
      <c r="O109" s="281">
        <v>1394</v>
      </c>
    </row>
    <row r="110" spans="2:15" x14ac:dyDescent="0.3">
      <c r="B110" s="25" t="s">
        <v>439</v>
      </c>
      <c r="C110" s="277" t="s">
        <v>397</v>
      </c>
      <c r="D110" s="277" t="s">
        <v>397</v>
      </c>
      <c r="E110" s="281">
        <v>67</v>
      </c>
      <c r="F110" s="281">
        <v>94</v>
      </c>
      <c r="G110" s="281">
        <v>0</v>
      </c>
      <c r="H110" s="281">
        <v>0</v>
      </c>
      <c r="I110" s="281">
        <v>12</v>
      </c>
      <c r="J110" s="281">
        <v>9</v>
      </c>
      <c r="K110" s="281">
        <v>60</v>
      </c>
      <c r="L110" s="281">
        <v>194</v>
      </c>
      <c r="M110" s="281">
        <v>0</v>
      </c>
      <c r="N110" s="281">
        <v>35</v>
      </c>
      <c r="O110" s="281">
        <v>478</v>
      </c>
    </row>
    <row r="111" spans="2:15" x14ac:dyDescent="0.3">
      <c r="B111" s="25" t="s">
        <v>440</v>
      </c>
      <c r="C111" s="277" t="s">
        <v>397</v>
      </c>
      <c r="D111" s="277" t="s">
        <v>397</v>
      </c>
      <c r="E111" s="281">
        <v>35</v>
      </c>
      <c r="F111" s="281">
        <v>290</v>
      </c>
      <c r="G111" s="281">
        <v>0</v>
      </c>
      <c r="H111" s="281">
        <v>0</v>
      </c>
      <c r="I111" s="281">
        <v>0</v>
      </c>
      <c r="J111" s="281">
        <v>0</v>
      </c>
      <c r="K111" s="281">
        <v>0</v>
      </c>
      <c r="L111" s="281">
        <v>28</v>
      </c>
      <c r="M111" s="281" t="s">
        <v>397</v>
      </c>
      <c r="N111" s="281">
        <v>0</v>
      </c>
      <c r="O111" s="281">
        <v>361</v>
      </c>
    </row>
    <row r="112" spans="2:15" x14ac:dyDescent="0.3">
      <c r="B112" s="25" t="s">
        <v>441</v>
      </c>
      <c r="C112" s="277" t="s">
        <v>397</v>
      </c>
      <c r="D112" s="277" t="s">
        <v>397</v>
      </c>
      <c r="E112" s="281">
        <v>47</v>
      </c>
      <c r="F112" s="281">
        <v>237</v>
      </c>
      <c r="G112" s="281">
        <v>0</v>
      </c>
      <c r="H112" s="281">
        <v>0</v>
      </c>
      <c r="I112" s="281">
        <v>8</v>
      </c>
      <c r="J112" s="281" t="s">
        <v>397</v>
      </c>
      <c r="K112" s="281">
        <v>14</v>
      </c>
      <c r="L112" s="281">
        <v>30</v>
      </c>
      <c r="M112" s="281">
        <v>0</v>
      </c>
      <c r="N112" s="281" t="s">
        <v>397</v>
      </c>
      <c r="O112" s="281">
        <v>344</v>
      </c>
    </row>
    <row r="113" spans="2:15" x14ac:dyDescent="0.3">
      <c r="B113" s="25" t="s">
        <v>442</v>
      </c>
      <c r="C113" s="277" t="s">
        <v>397</v>
      </c>
      <c r="D113" s="277" t="s">
        <v>397</v>
      </c>
      <c r="E113" s="281">
        <v>393</v>
      </c>
      <c r="F113" s="281">
        <v>188</v>
      </c>
      <c r="G113" s="281">
        <v>16</v>
      </c>
      <c r="H113" s="281">
        <v>3</v>
      </c>
      <c r="I113" s="281">
        <v>28</v>
      </c>
      <c r="J113" s="281">
        <v>4</v>
      </c>
      <c r="K113" s="281">
        <v>53</v>
      </c>
      <c r="L113" s="281">
        <v>405</v>
      </c>
      <c r="M113" s="281">
        <v>25</v>
      </c>
      <c r="N113" s="281">
        <v>21</v>
      </c>
      <c r="O113" s="281">
        <v>1149</v>
      </c>
    </row>
    <row r="114" spans="2:15" x14ac:dyDescent="0.3">
      <c r="B114" s="25" t="s">
        <v>88</v>
      </c>
      <c r="C114" s="277" t="s">
        <v>397</v>
      </c>
      <c r="D114" s="277" t="s">
        <v>397</v>
      </c>
      <c r="E114" s="281">
        <v>5314</v>
      </c>
      <c r="F114" s="281">
        <v>5467</v>
      </c>
      <c r="G114" s="281">
        <v>83</v>
      </c>
      <c r="H114" s="281">
        <v>0</v>
      </c>
      <c r="I114" s="281">
        <v>562</v>
      </c>
      <c r="J114" s="281">
        <v>765</v>
      </c>
      <c r="K114" s="281">
        <v>1043</v>
      </c>
      <c r="L114" s="281">
        <v>3462</v>
      </c>
      <c r="M114" s="281">
        <v>2866</v>
      </c>
      <c r="N114" s="281">
        <v>698</v>
      </c>
      <c r="O114" s="281">
        <v>20414</v>
      </c>
    </row>
    <row r="115" spans="2:15" x14ac:dyDescent="0.3">
      <c r="C115" s="277"/>
      <c r="D115" s="277"/>
      <c r="E115" s="286"/>
      <c r="F115" s="286"/>
      <c r="G115" s="286"/>
      <c r="H115" s="286"/>
      <c r="I115" s="286"/>
      <c r="J115" s="286"/>
      <c r="K115" s="286"/>
      <c r="L115" s="286"/>
      <c r="M115" s="286"/>
      <c r="N115" s="286"/>
      <c r="O115" s="286"/>
    </row>
    <row r="116" spans="2:15" ht="15" thickBot="1" x14ac:dyDescent="0.35">
      <c r="B116" s="283" t="s">
        <v>443</v>
      </c>
      <c r="C116" s="287">
        <v>812</v>
      </c>
      <c r="D116" s="287">
        <v>692</v>
      </c>
      <c r="E116" s="287">
        <v>22076</v>
      </c>
      <c r="F116" s="287">
        <v>47989</v>
      </c>
      <c r="G116" s="287">
        <v>1069</v>
      </c>
      <c r="H116" s="287">
        <v>199</v>
      </c>
      <c r="I116" s="287">
        <v>10598</v>
      </c>
      <c r="J116" s="287">
        <v>8847</v>
      </c>
      <c r="K116" s="287">
        <v>10731</v>
      </c>
      <c r="L116" s="287">
        <v>43309</v>
      </c>
      <c r="M116" s="287">
        <v>3539</v>
      </c>
      <c r="N116" s="287">
        <v>3167</v>
      </c>
      <c r="O116" s="287">
        <v>153028</v>
      </c>
    </row>
    <row r="118" spans="2:15" x14ac:dyDescent="0.3">
      <c r="B118" s="25" t="s">
        <v>444</v>
      </c>
    </row>
    <row r="119" spans="2:15" x14ac:dyDescent="0.3">
      <c r="B119" s="25" t="s">
        <v>445</v>
      </c>
      <c r="H119" s="25" t="s">
        <v>446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FA5D9-48B4-4615-999E-175DC1F59BA8}">
  <dimension ref="A1:L48"/>
  <sheetViews>
    <sheetView topLeftCell="A18" workbookViewId="0">
      <selection activeCell="O8" sqref="O8"/>
    </sheetView>
  </sheetViews>
  <sheetFormatPr defaultRowHeight="14.4" x14ac:dyDescent="0.3"/>
  <cols>
    <col min="4" max="5" width="8.88671875" style="91"/>
  </cols>
  <sheetData>
    <row r="1" spans="1:8" x14ac:dyDescent="0.3">
      <c r="A1" s="162" t="s">
        <v>274</v>
      </c>
      <c r="B1" s="162" t="s">
        <v>227</v>
      </c>
      <c r="C1" s="162"/>
      <c r="D1" s="162"/>
      <c r="E1" s="162"/>
      <c r="F1" s="162"/>
      <c r="G1" s="162"/>
    </row>
    <row r="2" spans="1:8" x14ac:dyDescent="0.3">
      <c r="A2" s="92" t="s">
        <v>183</v>
      </c>
      <c r="B2" s="162" t="s">
        <v>227</v>
      </c>
      <c r="C2" s="162"/>
      <c r="D2" s="162"/>
      <c r="E2" s="162"/>
      <c r="F2" s="162"/>
      <c r="G2" s="162"/>
    </row>
    <row r="3" spans="1:8" x14ac:dyDescent="0.3">
      <c r="A3" s="692" t="s">
        <v>517</v>
      </c>
      <c r="B3" s="692"/>
      <c r="C3" s="692"/>
      <c r="D3" s="692"/>
      <c r="E3" s="692"/>
      <c r="F3" s="692"/>
      <c r="G3" s="162"/>
    </row>
    <row r="4" spans="1:8" x14ac:dyDescent="0.3">
      <c r="A4" s="162" t="s">
        <v>228</v>
      </c>
      <c r="B4" s="162" t="s">
        <v>227</v>
      </c>
      <c r="C4" s="162"/>
      <c r="D4" s="162"/>
      <c r="E4" s="162"/>
      <c r="F4" s="162"/>
      <c r="G4" s="162"/>
    </row>
    <row r="5" spans="1:8" x14ac:dyDescent="0.3">
      <c r="A5" s="162" t="s">
        <v>229</v>
      </c>
      <c r="B5" s="162" t="s">
        <v>230</v>
      </c>
      <c r="C5" s="162"/>
      <c r="D5" s="162"/>
      <c r="E5" s="162"/>
      <c r="F5" s="162"/>
      <c r="G5" s="162"/>
    </row>
    <row r="6" spans="1:8" x14ac:dyDescent="0.3">
      <c r="A6" s="162" t="s">
        <v>227</v>
      </c>
      <c r="B6" s="162" t="s">
        <v>227</v>
      </c>
      <c r="C6" s="162"/>
      <c r="D6" s="162"/>
      <c r="E6" s="162"/>
      <c r="F6" s="162"/>
      <c r="G6" s="162"/>
    </row>
    <row r="7" spans="1:8" x14ac:dyDescent="0.3">
      <c r="A7" s="162" t="s">
        <v>231</v>
      </c>
      <c r="B7" s="162" t="s">
        <v>43</v>
      </c>
      <c r="C7" s="162" t="s">
        <v>44</v>
      </c>
      <c r="D7" s="162" t="s">
        <v>34</v>
      </c>
      <c r="E7" s="162"/>
      <c r="F7" s="162" t="s">
        <v>45</v>
      </c>
      <c r="G7" s="162" t="s">
        <v>97</v>
      </c>
    </row>
    <row r="8" spans="1:8" x14ac:dyDescent="0.3">
      <c r="A8" s="162" t="s">
        <v>232</v>
      </c>
      <c r="B8" s="161">
        <v>31.13</v>
      </c>
      <c r="C8" s="161">
        <v>42.017000000000003</v>
      </c>
      <c r="D8" s="162">
        <f>B8-C8</f>
        <v>-10.887000000000004</v>
      </c>
      <c r="E8" s="162"/>
      <c r="F8" s="162" t="s">
        <v>233</v>
      </c>
      <c r="G8" s="162" t="s">
        <v>234</v>
      </c>
      <c r="H8" s="91">
        <f t="shared" ref="H8:H46" si="0">F8-G8</f>
        <v>-11.896999999999998</v>
      </c>
    </row>
    <row r="9" spans="1:8" x14ac:dyDescent="0.3">
      <c r="A9" s="162" t="s">
        <v>235</v>
      </c>
      <c r="B9" s="163">
        <v>31.399000000000001</v>
      </c>
      <c r="C9" s="164">
        <v>42.41</v>
      </c>
      <c r="D9" s="162">
        <f t="shared" ref="D9:D47" si="1">B9-C9</f>
        <v>-11.010999999999996</v>
      </c>
      <c r="E9" s="162"/>
      <c r="F9" s="163">
        <v>24.381</v>
      </c>
      <c r="G9" s="163">
        <v>33.881999999999998</v>
      </c>
      <c r="H9" s="91">
        <f t="shared" si="0"/>
        <v>-9.5009999999999977</v>
      </c>
    </row>
    <row r="10" spans="1:8" x14ac:dyDescent="0.3">
      <c r="A10" s="162" t="s">
        <v>236</v>
      </c>
      <c r="B10" s="163">
        <v>32.558999999999997</v>
      </c>
      <c r="C10" s="164">
        <v>43.63</v>
      </c>
      <c r="D10" s="162">
        <f t="shared" si="1"/>
        <v>-11.071000000000005</v>
      </c>
      <c r="E10" s="162"/>
      <c r="F10" s="163">
        <v>23.497</v>
      </c>
      <c r="G10" s="163">
        <v>36.587000000000003</v>
      </c>
      <c r="H10" s="91">
        <f t="shared" si="0"/>
        <v>-13.090000000000003</v>
      </c>
    </row>
    <row r="11" spans="1:8" x14ac:dyDescent="0.3">
      <c r="A11" s="162" t="s">
        <v>237</v>
      </c>
      <c r="B11" s="163">
        <v>33.418999999999997</v>
      </c>
      <c r="C11" s="163">
        <v>44.457000000000001</v>
      </c>
      <c r="D11" s="162">
        <f t="shared" si="1"/>
        <v>-11.038000000000004</v>
      </c>
      <c r="E11" s="162"/>
      <c r="F11" s="163">
        <v>24.606000000000002</v>
      </c>
      <c r="G11" s="163">
        <v>36.651000000000003</v>
      </c>
      <c r="H11" s="91">
        <f t="shared" si="0"/>
        <v>-12.045000000000002</v>
      </c>
    </row>
    <row r="12" spans="1:8" x14ac:dyDescent="0.3">
      <c r="A12" s="162" t="s">
        <v>238</v>
      </c>
      <c r="B12" s="163">
        <v>34.826000000000001</v>
      </c>
      <c r="C12" s="163">
        <v>46.570999999999998</v>
      </c>
      <c r="D12" s="162">
        <f t="shared" si="1"/>
        <v>-11.744999999999997</v>
      </c>
      <c r="E12" s="162"/>
      <c r="F12" s="163">
        <v>25.523</v>
      </c>
      <c r="G12" s="163">
        <v>38.317</v>
      </c>
      <c r="H12" s="91">
        <f t="shared" si="0"/>
        <v>-12.794</v>
      </c>
    </row>
    <row r="13" spans="1:8" x14ac:dyDescent="0.3">
      <c r="A13" s="162" t="s">
        <v>239</v>
      </c>
      <c r="B13" s="163">
        <v>37.366</v>
      </c>
      <c r="C13" s="163">
        <v>48.756</v>
      </c>
      <c r="D13" s="162">
        <f t="shared" si="1"/>
        <v>-11.39</v>
      </c>
      <c r="E13" s="162"/>
      <c r="F13" s="163">
        <v>28.585000000000001</v>
      </c>
      <c r="G13" s="163">
        <v>41.966000000000001</v>
      </c>
      <c r="H13" s="91">
        <f t="shared" si="0"/>
        <v>-13.381</v>
      </c>
    </row>
    <row r="14" spans="1:8" x14ac:dyDescent="0.3">
      <c r="A14" s="162" t="s">
        <v>240</v>
      </c>
      <c r="B14" s="163">
        <v>37.468000000000004</v>
      </c>
      <c r="C14" s="163">
        <v>46.887999999999998</v>
      </c>
      <c r="D14" s="162">
        <f t="shared" si="1"/>
        <v>-9.4199999999999946</v>
      </c>
      <c r="E14" s="162"/>
      <c r="F14" s="163">
        <v>30.202000000000002</v>
      </c>
      <c r="G14" s="163">
        <v>43.369</v>
      </c>
      <c r="H14" s="91">
        <f t="shared" si="0"/>
        <v>-13.166999999999998</v>
      </c>
    </row>
    <row r="15" spans="1:8" x14ac:dyDescent="0.3">
      <c r="A15" s="162" t="s">
        <v>241</v>
      </c>
      <c r="B15" s="163">
        <v>33.151000000000003</v>
      </c>
      <c r="C15" s="163">
        <v>42.536000000000001</v>
      </c>
      <c r="D15" s="162">
        <f t="shared" si="1"/>
        <v>-9.384999999999998</v>
      </c>
      <c r="E15" s="162"/>
      <c r="F15" s="163">
        <v>27.456</v>
      </c>
      <c r="G15" s="165">
        <v>41.2</v>
      </c>
      <c r="H15" s="91">
        <f t="shared" si="0"/>
        <v>-13.744000000000003</v>
      </c>
    </row>
    <row r="16" spans="1:8" x14ac:dyDescent="0.3">
      <c r="A16" s="162" t="s">
        <v>242</v>
      </c>
      <c r="B16" s="163">
        <v>30.988</v>
      </c>
      <c r="C16" s="163">
        <v>40.103999999999999</v>
      </c>
      <c r="D16" s="162">
        <f t="shared" si="1"/>
        <v>-9.1159999999999997</v>
      </c>
      <c r="E16" s="162"/>
      <c r="F16" s="163">
        <v>24.382000000000001</v>
      </c>
      <c r="G16" s="163">
        <v>38.466000000000001</v>
      </c>
      <c r="H16" s="91">
        <f t="shared" si="0"/>
        <v>-14.084</v>
      </c>
    </row>
    <row r="17" spans="1:8" x14ac:dyDescent="0.3">
      <c r="A17" s="162" t="s">
        <v>243</v>
      </c>
      <c r="B17" s="163">
        <v>29.864000000000001</v>
      </c>
      <c r="C17" s="163">
        <v>40.003</v>
      </c>
      <c r="D17" s="162">
        <f t="shared" si="1"/>
        <v>-10.138999999999999</v>
      </c>
      <c r="E17" s="162"/>
      <c r="F17" s="163">
        <v>25.337</v>
      </c>
      <c r="G17" s="163">
        <v>36.677999999999997</v>
      </c>
      <c r="H17" s="91">
        <f t="shared" si="0"/>
        <v>-11.340999999999998</v>
      </c>
    </row>
    <row r="18" spans="1:8" x14ac:dyDescent="0.3">
      <c r="A18" s="162" t="s">
        <v>244</v>
      </c>
      <c r="B18" s="163">
        <v>31.550999999999998</v>
      </c>
      <c r="C18" s="163">
        <v>41.201000000000001</v>
      </c>
      <c r="D18" s="162">
        <f t="shared" si="1"/>
        <v>-9.6500000000000021</v>
      </c>
      <c r="E18" s="162"/>
      <c r="F18" s="163">
        <v>25.701000000000001</v>
      </c>
      <c r="G18" s="163">
        <v>36.585999999999999</v>
      </c>
      <c r="H18" s="91">
        <f t="shared" si="0"/>
        <v>-10.884999999999998</v>
      </c>
    </row>
    <row r="19" spans="1:8" x14ac:dyDescent="0.3">
      <c r="A19" s="162" t="s">
        <v>245</v>
      </c>
      <c r="B19" s="163">
        <v>33.097999999999999</v>
      </c>
      <c r="C19" s="163">
        <v>44.753999999999998</v>
      </c>
      <c r="D19" s="162">
        <f t="shared" si="1"/>
        <v>-11.655999999999999</v>
      </c>
      <c r="E19" s="162"/>
      <c r="F19" s="163">
        <v>28.186</v>
      </c>
      <c r="G19" s="163">
        <v>37.939</v>
      </c>
      <c r="H19" s="91">
        <f t="shared" si="0"/>
        <v>-9.7530000000000001</v>
      </c>
    </row>
    <row r="20" spans="1:8" x14ac:dyDescent="0.3">
      <c r="A20" s="162" t="s">
        <v>246</v>
      </c>
      <c r="B20" s="163">
        <v>34.853000000000002</v>
      </c>
      <c r="C20" s="163">
        <v>45.103999999999999</v>
      </c>
      <c r="D20" s="162">
        <f t="shared" si="1"/>
        <v>-10.250999999999998</v>
      </c>
      <c r="E20" s="162"/>
      <c r="F20" s="163">
        <v>28.175000000000001</v>
      </c>
      <c r="G20" s="165">
        <v>40.799999999999997</v>
      </c>
      <c r="H20" s="91">
        <f t="shared" si="0"/>
        <v>-12.624999999999996</v>
      </c>
    </row>
    <row r="21" spans="1:8" x14ac:dyDescent="0.3">
      <c r="A21" s="162" t="s">
        <v>247</v>
      </c>
      <c r="B21" s="163">
        <v>36.713000000000001</v>
      </c>
      <c r="C21" s="163">
        <v>47.197000000000003</v>
      </c>
      <c r="D21" s="162">
        <f t="shared" si="1"/>
        <v>-10.484000000000002</v>
      </c>
      <c r="E21" s="162"/>
      <c r="F21" s="163">
        <v>31.306999999999999</v>
      </c>
      <c r="G21" s="163">
        <v>43.593000000000004</v>
      </c>
      <c r="H21" s="91">
        <f t="shared" si="0"/>
        <v>-12.286000000000005</v>
      </c>
    </row>
    <row r="22" spans="1:8" x14ac:dyDescent="0.3">
      <c r="A22" s="162" t="s">
        <v>248</v>
      </c>
      <c r="B22" s="163">
        <v>35.006</v>
      </c>
      <c r="C22" s="163">
        <v>47.274000000000001</v>
      </c>
      <c r="D22" s="162">
        <f t="shared" si="1"/>
        <v>-12.268000000000001</v>
      </c>
      <c r="E22" s="162"/>
      <c r="F22" s="163">
        <v>32.863999999999997</v>
      </c>
      <c r="G22" s="163">
        <v>46.024000000000001</v>
      </c>
      <c r="H22" s="91">
        <f t="shared" si="0"/>
        <v>-13.160000000000004</v>
      </c>
    </row>
    <row r="23" spans="1:8" x14ac:dyDescent="0.3">
      <c r="A23" s="162" t="s">
        <v>249</v>
      </c>
      <c r="B23" s="163">
        <v>38.600999999999999</v>
      </c>
      <c r="C23" s="163">
        <v>49.497</v>
      </c>
      <c r="D23" s="162">
        <f t="shared" si="1"/>
        <v>-10.896000000000001</v>
      </c>
      <c r="E23" s="162"/>
      <c r="F23" s="163">
        <v>32.677</v>
      </c>
      <c r="G23" s="162">
        <v>48.091000000000001</v>
      </c>
      <c r="H23" s="91">
        <f t="shared" si="0"/>
        <v>-15.414000000000001</v>
      </c>
    </row>
    <row r="24" spans="1:8" x14ac:dyDescent="0.3">
      <c r="A24" s="162" t="s">
        <v>250</v>
      </c>
      <c r="B24" s="162">
        <v>40.643999999999998</v>
      </c>
      <c r="C24" s="162">
        <v>49.936</v>
      </c>
      <c r="D24" s="162">
        <f t="shared" si="1"/>
        <v>-9.2920000000000016</v>
      </c>
      <c r="E24" s="162"/>
      <c r="F24" s="162">
        <v>36.276000000000003</v>
      </c>
      <c r="G24" s="162">
        <v>47.055999999999997</v>
      </c>
      <c r="H24" s="91">
        <f t="shared" si="0"/>
        <v>-10.779999999999994</v>
      </c>
    </row>
    <row r="25" spans="1:8" x14ac:dyDescent="0.3">
      <c r="A25" s="162" t="s">
        <v>251</v>
      </c>
      <c r="B25" s="162">
        <v>42.475999999999999</v>
      </c>
      <c r="C25" s="162">
        <v>50.268000000000001</v>
      </c>
      <c r="D25" s="162">
        <f t="shared" si="1"/>
        <v>-7.7920000000000016</v>
      </c>
      <c r="E25" s="162"/>
      <c r="F25" s="162">
        <v>34.369</v>
      </c>
      <c r="G25" s="162">
        <v>49.213999999999999</v>
      </c>
      <c r="H25" s="91">
        <f t="shared" si="0"/>
        <v>-14.844999999999999</v>
      </c>
    </row>
    <row r="26" spans="1:8" x14ac:dyDescent="0.3">
      <c r="A26" s="162" t="s">
        <v>252</v>
      </c>
      <c r="B26" s="162">
        <v>40.941000000000003</v>
      </c>
      <c r="C26" s="162">
        <v>52.408999999999999</v>
      </c>
      <c r="D26" s="162">
        <f t="shared" si="1"/>
        <v>-11.467999999999996</v>
      </c>
      <c r="E26" s="162"/>
      <c r="F26" s="162">
        <v>34.89</v>
      </c>
      <c r="G26" s="162">
        <v>51.326999999999998</v>
      </c>
      <c r="H26" s="91">
        <f t="shared" si="0"/>
        <v>-16.436999999999998</v>
      </c>
    </row>
    <row r="27" spans="1:8" x14ac:dyDescent="0.3">
      <c r="A27" s="162" t="s">
        <v>253</v>
      </c>
      <c r="B27" s="162">
        <v>41.024000000000001</v>
      </c>
      <c r="C27" s="162">
        <v>51.942</v>
      </c>
      <c r="D27" s="162">
        <f t="shared" si="1"/>
        <v>-10.917999999999999</v>
      </c>
      <c r="E27" s="162"/>
      <c r="F27" s="162">
        <v>37.551000000000002</v>
      </c>
      <c r="G27" s="162">
        <v>50.973999999999997</v>
      </c>
      <c r="H27" s="91">
        <f t="shared" si="0"/>
        <v>-13.422999999999995</v>
      </c>
    </row>
    <row r="28" spans="1:8" x14ac:dyDescent="0.3">
      <c r="A28" s="162" t="s">
        <v>254</v>
      </c>
      <c r="B28" s="162">
        <v>39.344999999999999</v>
      </c>
      <c r="C28" s="162">
        <v>52.713999999999999</v>
      </c>
      <c r="D28" s="162">
        <f t="shared" si="1"/>
        <v>-13.369</v>
      </c>
      <c r="E28" s="162"/>
      <c r="F28" s="162">
        <v>38.72</v>
      </c>
      <c r="G28" s="162">
        <v>50.747999999999998</v>
      </c>
      <c r="H28" s="91">
        <f t="shared" si="0"/>
        <v>-12.027999999999999</v>
      </c>
    </row>
    <row r="29" spans="1:8" x14ac:dyDescent="0.3">
      <c r="A29" s="162" t="s">
        <v>255</v>
      </c>
      <c r="B29" s="162">
        <v>37.055999999999997</v>
      </c>
      <c r="C29" s="162">
        <v>51.942999999999998</v>
      </c>
      <c r="D29" s="162">
        <f t="shared" si="1"/>
        <v>-14.887</v>
      </c>
      <c r="E29" s="162"/>
      <c r="F29" s="162">
        <v>36.865000000000002</v>
      </c>
      <c r="G29" s="162">
        <v>51.372</v>
      </c>
      <c r="H29" s="91">
        <f t="shared" si="0"/>
        <v>-14.506999999999998</v>
      </c>
    </row>
    <row r="30" spans="1:8" x14ac:dyDescent="0.3">
      <c r="A30" s="162" t="s">
        <v>256</v>
      </c>
      <c r="B30" s="162">
        <v>37.564999999999998</v>
      </c>
      <c r="C30" s="162">
        <v>52.271000000000001</v>
      </c>
      <c r="D30" s="162">
        <f t="shared" si="1"/>
        <v>-14.706000000000003</v>
      </c>
      <c r="E30" s="162"/>
      <c r="F30" s="162">
        <v>38.549999999999997</v>
      </c>
      <c r="G30" s="162">
        <v>50.587000000000003</v>
      </c>
      <c r="H30" s="91">
        <f t="shared" si="0"/>
        <v>-12.037000000000006</v>
      </c>
    </row>
    <row r="31" spans="1:8" x14ac:dyDescent="0.3">
      <c r="A31" s="162" t="s">
        <v>257</v>
      </c>
      <c r="B31" s="162">
        <v>36.719000000000001</v>
      </c>
      <c r="C31" s="162">
        <v>52.110999999999997</v>
      </c>
      <c r="D31" s="162">
        <f t="shared" si="1"/>
        <v>-15.391999999999996</v>
      </c>
      <c r="E31" s="162"/>
      <c r="F31" s="162">
        <v>36.801000000000002</v>
      </c>
      <c r="G31" s="162">
        <v>50.781999999999996</v>
      </c>
      <c r="H31" s="91">
        <f t="shared" si="0"/>
        <v>-13.980999999999995</v>
      </c>
    </row>
    <row r="32" spans="1:8" x14ac:dyDescent="0.3">
      <c r="A32" s="162" t="s">
        <v>258</v>
      </c>
      <c r="B32" s="162">
        <v>38.082000000000001</v>
      </c>
      <c r="C32" s="162">
        <v>53.777999999999999</v>
      </c>
      <c r="D32" s="162">
        <f t="shared" si="1"/>
        <v>-15.695999999999998</v>
      </c>
      <c r="E32" s="162"/>
      <c r="F32" s="162">
        <v>36.981000000000002</v>
      </c>
      <c r="G32" s="162">
        <v>49.624000000000002</v>
      </c>
      <c r="H32" s="91">
        <f t="shared" si="0"/>
        <v>-12.643000000000001</v>
      </c>
    </row>
    <row r="33" spans="1:12" x14ac:dyDescent="0.3">
      <c r="A33" s="162" t="s">
        <v>259</v>
      </c>
      <c r="B33" s="162">
        <v>37.965000000000003</v>
      </c>
      <c r="C33" s="162">
        <v>54.692999999999998</v>
      </c>
      <c r="D33" s="162">
        <f t="shared" si="1"/>
        <v>-16.727999999999994</v>
      </c>
      <c r="E33" s="162"/>
      <c r="F33" s="162">
        <v>39.649000000000001</v>
      </c>
      <c r="G33" s="162">
        <v>52.148000000000003</v>
      </c>
      <c r="H33" s="91">
        <f t="shared" si="0"/>
        <v>-12.499000000000002</v>
      </c>
    </row>
    <row r="34" spans="1:12" x14ac:dyDescent="0.3">
      <c r="A34" s="162" t="s">
        <v>260</v>
      </c>
      <c r="B34" s="162">
        <v>39.027999999999999</v>
      </c>
      <c r="C34" s="162">
        <v>56.222999999999999</v>
      </c>
      <c r="D34" s="162">
        <f t="shared" si="1"/>
        <v>-17.195</v>
      </c>
      <c r="E34" s="162"/>
      <c r="F34" s="162">
        <v>37.901000000000003</v>
      </c>
      <c r="G34" s="162">
        <v>50.125999999999998</v>
      </c>
      <c r="H34" s="91">
        <f t="shared" si="0"/>
        <v>-12.224999999999994</v>
      </c>
    </row>
    <row r="35" spans="1:12" x14ac:dyDescent="0.3">
      <c r="A35" s="162" t="s">
        <v>261</v>
      </c>
      <c r="B35" s="162">
        <v>36.180999999999997</v>
      </c>
      <c r="C35" s="162">
        <v>55.97</v>
      </c>
      <c r="D35" s="162">
        <f t="shared" si="1"/>
        <v>-19.789000000000001</v>
      </c>
      <c r="E35" s="162"/>
      <c r="F35" s="162">
        <v>37.36</v>
      </c>
      <c r="G35" s="162">
        <v>51.249000000000002</v>
      </c>
      <c r="H35" s="91">
        <f t="shared" si="0"/>
        <v>-13.889000000000003</v>
      </c>
    </row>
    <row r="36" spans="1:12" x14ac:dyDescent="0.3">
      <c r="A36" s="162" t="s">
        <v>262</v>
      </c>
      <c r="B36" s="162">
        <v>37.06</v>
      </c>
      <c r="C36" s="162">
        <v>55.756999999999998</v>
      </c>
      <c r="D36" s="162">
        <f t="shared" si="1"/>
        <v>-18.696999999999996</v>
      </c>
      <c r="E36" s="162"/>
      <c r="F36" s="162">
        <v>36.048999999999999</v>
      </c>
      <c r="G36" s="162">
        <v>46.305</v>
      </c>
      <c r="H36" s="91">
        <f t="shared" si="0"/>
        <v>-10.256</v>
      </c>
    </row>
    <row r="37" spans="1:12" x14ac:dyDescent="0.3">
      <c r="A37" s="162" t="s">
        <v>263</v>
      </c>
      <c r="B37" s="162">
        <v>37.265999999999998</v>
      </c>
      <c r="C37" s="162">
        <v>55.997999999999998</v>
      </c>
      <c r="D37" s="162">
        <f t="shared" si="1"/>
        <v>-18.731999999999999</v>
      </c>
      <c r="E37" s="162"/>
      <c r="F37" s="162">
        <v>36.197000000000003</v>
      </c>
      <c r="G37" s="162">
        <v>46.863999999999997</v>
      </c>
      <c r="H37" s="91">
        <f t="shared" si="0"/>
        <v>-10.666999999999994</v>
      </c>
    </row>
    <row r="38" spans="1:12" x14ac:dyDescent="0.3">
      <c r="A38" s="162" t="s">
        <v>264</v>
      </c>
      <c r="B38" s="162">
        <v>35.728000000000002</v>
      </c>
      <c r="C38" s="162">
        <v>56.043999999999997</v>
      </c>
      <c r="D38" s="162">
        <f t="shared" si="1"/>
        <v>-20.315999999999995</v>
      </c>
      <c r="E38" s="162"/>
      <c r="F38" s="162">
        <v>36.595999999999997</v>
      </c>
      <c r="G38" s="162">
        <v>47.445</v>
      </c>
      <c r="H38" s="91">
        <f t="shared" si="0"/>
        <v>-10.849000000000004</v>
      </c>
    </row>
    <row r="39" spans="1:12" x14ac:dyDescent="0.3">
      <c r="A39" s="162" t="s">
        <v>265</v>
      </c>
      <c r="B39" s="162">
        <v>35.417999999999999</v>
      </c>
      <c r="C39" s="162">
        <v>56.935000000000002</v>
      </c>
      <c r="D39" s="162">
        <f t="shared" si="1"/>
        <v>-21.517000000000003</v>
      </c>
      <c r="E39" s="162"/>
      <c r="F39" s="162">
        <v>38.58</v>
      </c>
      <c r="G39" s="162">
        <v>50.121000000000002</v>
      </c>
      <c r="H39" s="91">
        <f t="shared" si="0"/>
        <v>-11.541000000000004</v>
      </c>
    </row>
    <row r="40" spans="1:12" x14ac:dyDescent="0.3">
      <c r="A40" s="162" t="s">
        <v>266</v>
      </c>
      <c r="B40" s="162">
        <v>33.509</v>
      </c>
      <c r="C40" s="162">
        <v>56.604999999999997</v>
      </c>
      <c r="D40" s="162">
        <f t="shared" si="1"/>
        <v>-23.095999999999997</v>
      </c>
      <c r="E40" s="162"/>
      <c r="F40" s="162">
        <v>38.218000000000004</v>
      </c>
      <c r="G40" s="162">
        <v>49.579000000000001</v>
      </c>
      <c r="H40" s="91">
        <f t="shared" si="0"/>
        <v>-11.360999999999997</v>
      </c>
    </row>
    <row r="41" spans="1:12" x14ac:dyDescent="0.3">
      <c r="A41" s="162" t="s">
        <v>267</v>
      </c>
      <c r="B41" s="162">
        <v>34.32</v>
      </c>
      <c r="C41" s="162">
        <v>55.793999999999997</v>
      </c>
      <c r="D41" s="162">
        <f t="shared" si="1"/>
        <v>-21.473999999999997</v>
      </c>
      <c r="E41" s="162"/>
      <c r="F41" s="162">
        <v>39.988999999999997</v>
      </c>
      <c r="G41" s="162">
        <v>45.844999999999999</v>
      </c>
      <c r="H41" s="91">
        <f t="shared" si="0"/>
        <v>-5.8560000000000016</v>
      </c>
    </row>
    <row r="42" spans="1:12" x14ac:dyDescent="0.3">
      <c r="A42" s="162" t="s">
        <v>268</v>
      </c>
      <c r="B42" s="162">
        <v>33.423000000000002</v>
      </c>
      <c r="C42" s="162">
        <v>54.832000000000001</v>
      </c>
      <c r="D42" s="162">
        <f t="shared" si="1"/>
        <v>-21.408999999999999</v>
      </c>
      <c r="E42" s="162"/>
      <c r="F42" s="162">
        <v>37.204000000000001</v>
      </c>
      <c r="G42" s="162">
        <v>44.603000000000002</v>
      </c>
      <c r="H42" s="91">
        <f t="shared" si="0"/>
        <v>-7.3990000000000009</v>
      </c>
    </row>
    <row r="43" spans="1:12" x14ac:dyDescent="0.3">
      <c r="A43" s="162" t="s">
        <v>269</v>
      </c>
      <c r="B43" s="162">
        <v>32.704999999999998</v>
      </c>
      <c r="C43" s="162">
        <v>55.680999999999997</v>
      </c>
      <c r="D43" s="162">
        <f t="shared" si="1"/>
        <v>-22.975999999999999</v>
      </c>
      <c r="E43" s="162"/>
      <c r="F43" s="162">
        <v>38.216000000000001</v>
      </c>
      <c r="G43" s="162">
        <v>44.365000000000002</v>
      </c>
      <c r="H43" s="91">
        <f t="shared" si="0"/>
        <v>-6.1490000000000009</v>
      </c>
    </row>
    <row r="44" spans="1:12" x14ac:dyDescent="0.3">
      <c r="A44" s="162" t="s">
        <v>270</v>
      </c>
      <c r="B44" s="162">
        <v>33.372</v>
      </c>
      <c r="C44" s="162">
        <v>57.314</v>
      </c>
      <c r="D44" s="162">
        <f t="shared" si="1"/>
        <v>-23.942</v>
      </c>
      <c r="E44" s="162"/>
      <c r="F44" s="162">
        <v>36.908999999999999</v>
      </c>
      <c r="G44" s="162">
        <v>45.097999999999999</v>
      </c>
      <c r="H44" s="91">
        <f t="shared" si="0"/>
        <v>-8.1890000000000001</v>
      </c>
    </row>
    <row r="45" spans="1:12" x14ac:dyDescent="0.3">
      <c r="A45" s="162" t="s">
        <v>271</v>
      </c>
      <c r="B45" s="162">
        <v>35.68</v>
      </c>
      <c r="C45" s="162">
        <v>58.814</v>
      </c>
      <c r="D45" s="162">
        <f t="shared" si="1"/>
        <v>-23.134</v>
      </c>
      <c r="E45" s="162"/>
      <c r="F45" s="162">
        <v>39.173999999999999</v>
      </c>
      <c r="G45" s="162">
        <v>47.045000000000002</v>
      </c>
      <c r="H45" s="91">
        <f t="shared" si="0"/>
        <v>-7.8710000000000022</v>
      </c>
    </row>
    <row r="46" spans="1:12" x14ac:dyDescent="0.3">
      <c r="A46" s="162" t="s">
        <v>272</v>
      </c>
      <c r="B46" s="162">
        <v>37.042000000000002</v>
      </c>
      <c r="C46" s="162">
        <v>61.093000000000004</v>
      </c>
      <c r="D46" s="162">
        <f t="shared" si="1"/>
        <v>-24.051000000000002</v>
      </c>
      <c r="E46" s="162"/>
      <c r="F46" s="162">
        <v>37.363999999999997</v>
      </c>
      <c r="G46" s="162">
        <v>52.552999999999997</v>
      </c>
      <c r="H46" s="91">
        <f t="shared" si="0"/>
        <v>-15.189</v>
      </c>
    </row>
    <row r="47" spans="1:12" x14ac:dyDescent="0.3">
      <c r="A47" s="162" t="s">
        <v>273</v>
      </c>
      <c r="B47" s="162">
        <v>38.33</v>
      </c>
      <c r="C47" s="162">
        <v>63.613</v>
      </c>
      <c r="D47" s="162">
        <f t="shared" si="1"/>
        <v>-25.283000000000001</v>
      </c>
      <c r="E47" s="162"/>
      <c r="F47" s="162">
        <v>43.834000000000003</v>
      </c>
      <c r="G47" s="162">
        <v>51.05</v>
      </c>
      <c r="H47">
        <f>F47-G47</f>
        <v>-7.215999999999994</v>
      </c>
      <c r="K47">
        <f>SUM(B44:B47)</f>
        <v>144.42399999999998</v>
      </c>
      <c r="L47">
        <f>SUM(F44:F47)</f>
        <v>157.28100000000001</v>
      </c>
    </row>
    <row r="48" spans="1:12" x14ac:dyDescent="0.3">
      <c r="B48" s="91">
        <f>SUM(B44:B47)</f>
        <v>144.42399999999998</v>
      </c>
      <c r="C48">
        <f>SUM(C44:C47)</f>
        <v>240.834</v>
      </c>
      <c r="F48">
        <f>SUM(F44:F47)</f>
        <v>157.28100000000001</v>
      </c>
      <c r="G48">
        <f>SUM(G44:G47)</f>
        <v>195.74599999999998</v>
      </c>
    </row>
  </sheetData>
  <mergeCells count="1">
    <mergeCell ref="A3:F3"/>
  </mergeCells>
  <hyperlinks>
    <hyperlink ref="A2" r:id="rId1" xr:uid="{87F10DB0-D392-4C3D-AAF1-D327041F0B2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 All Trade</vt:lpstr>
      <vt:lpstr>2. Trade in Services</vt:lpstr>
      <vt:lpstr>3. Trade in Goods</vt:lpstr>
      <vt:lpstr>Working Data</vt:lpstr>
      <vt:lpstr>ONS Services Trade Data 2018</vt:lpstr>
      <vt:lpstr>Old_2016 Data Manufacturing</vt:lpstr>
      <vt:lpstr>Old_Core Data_Goods</vt:lpstr>
      <vt:lpstr>Core Data_Services</vt:lpstr>
      <vt:lpstr>Additional Data</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Radford</dc:creator>
  <cp:lastModifiedBy>Phil Radford</cp:lastModifiedBy>
  <cp:lastPrinted>2018-01-17T10:19:46Z</cp:lastPrinted>
  <dcterms:created xsi:type="dcterms:W3CDTF">2017-04-05T06:59:48Z</dcterms:created>
  <dcterms:modified xsi:type="dcterms:W3CDTF">2018-11-17T06:09:38Z</dcterms:modified>
</cp:coreProperties>
</file>