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1.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12.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13.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drawings/drawing14.xml" ContentType="application/vnd.openxmlformats-officedocument.drawing+xml"/>
  <Override PartName="/xl/charts/chart54.xml" ContentType="application/vnd.openxmlformats-officedocument.drawingml.chart+xml"/>
  <Override PartName="/xl/charts/style53.xml" ContentType="application/vnd.ms-office.chartstyle+xml"/>
  <Override PartName="/xl/charts/colors53.xml" ContentType="application/vnd.ms-office.chartcolorstyle+xml"/>
  <Override PartName="/xl/charts/chart55.xml" ContentType="application/vnd.openxmlformats-officedocument.drawingml.chart+xml"/>
  <Override PartName="/xl/charts/style54.xml" ContentType="application/vnd.ms-office.chartstyle+xml"/>
  <Override PartName="/xl/charts/colors54.xml" ContentType="application/vnd.ms-office.chartcolorstyle+xml"/>
  <Override PartName="/xl/charts/chart56.xml" ContentType="application/vnd.openxmlformats-officedocument.drawingml.chart+xml"/>
  <Override PartName="/xl/charts/style55.xml" ContentType="application/vnd.ms-office.chartstyle+xml"/>
  <Override PartName="/xl/charts/colors55.xml" ContentType="application/vnd.ms-office.chartcolorstyle+xml"/>
  <Override PartName="/xl/charts/chart57.xml" ContentType="application/vnd.openxmlformats-officedocument.drawingml.chart+xml"/>
  <Override PartName="/xl/charts/style56.xml" ContentType="application/vnd.ms-office.chartstyle+xml"/>
  <Override PartName="/xl/charts/colors56.xml" ContentType="application/vnd.ms-office.chartcolorstyle+xml"/>
  <Override PartName="/xl/charts/chart58.xml" ContentType="application/vnd.openxmlformats-officedocument.drawingml.chart+xml"/>
  <Override PartName="/xl/charts/style57.xml" ContentType="application/vnd.ms-office.chartstyle+xml"/>
  <Override PartName="/xl/charts/colors57.xml" ContentType="application/vnd.ms-office.chartcolorstyle+xml"/>
  <Override PartName="/xl/charts/chart59.xml" ContentType="application/vnd.openxmlformats-officedocument.drawingml.chart+xml"/>
  <Override PartName="/xl/charts/style58.xml" ContentType="application/vnd.ms-office.chartstyle+xml"/>
  <Override PartName="/xl/charts/colors58.xml" ContentType="application/vnd.ms-office.chartcolorstyle+xml"/>
  <Override PartName="/xl/charts/chart60.xml" ContentType="application/vnd.openxmlformats-officedocument.drawingml.chart+xml"/>
  <Override PartName="/xl/charts/style59.xml" ContentType="application/vnd.ms-office.chartstyle+xml"/>
  <Override PartName="/xl/charts/colors59.xml" ContentType="application/vnd.ms-office.chartcolorstyle+xml"/>
  <Override PartName="/xl/charts/chart61.xml" ContentType="application/vnd.openxmlformats-officedocument.drawingml.chart+xml"/>
  <Override PartName="/xl/charts/style60.xml" ContentType="application/vnd.ms-office.chartstyle+xml"/>
  <Override PartName="/xl/charts/colors60.xml" ContentType="application/vnd.ms-office.chartcolorstyle+xml"/>
  <Override PartName="/xl/charts/chart62.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15.xml" ContentType="application/vnd.openxmlformats-officedocument.drawing+xml"/>
  <Override PartName="/xl/charts/chart63.xml" ContentType="application/vnd.openxmlformats-officedocument.drawingml.chart+xml"/>
  <Override PartName="/xl/charts/style62.xml" ContentType="application/vnd.ms-office.chartstyle+xml"/>
  <Override PartName="/xl/charts/colors62.xml" ContentType="application/vnd.ms-office.chartcolorstyle+xml"/>
  <Override PartName="/xl/charts/chart64.xml" ContentType="application/vnd.openxmlformats-officedocument.drawingml.chart+xml"/>
  <Override PartName="/xl/charts/style63.xml" ContentType="application/vnd.ms-office.chartstyle+xml"/>
  <Override PartName="/xl/charts/colors63.xml" ContentType="application/vnd.ms-office.chartcolorstyle+xml"/>
  <Override PartName="/xl/charts/chart65.xml" ContentType="application/vnd.openxmlformats-officedocument.drawingml.chart+xml"/>
  <Override PartName="/xl/charts/style64.xml" ContentType="application/vnd.ms-office.chartstyle+xml"/>
  <Override PartName="/xl/charts/colors64.xml" ContentType="application/vnd.ms-office.chartcolorstyle+xml"/>
  <Override PartName="/xl/charts/chart66.xml" ContentType="application/vnd.openxmlformats-officedocument.drawingml.chart+xml"/>
  <Override PartName="/xl/charts/style65.xml" ContentType="application/vnd.ms-office.chartstyle+xml"/>
  <Override PartName="/xl/charts/colors65.xml" ContentType="application/vnd.ms-office.chartcolorstyle+xml"/>
  <Override PartName="/xl/charts/chart67.xml" ContentType="application/vnd.openxmlformats-officedocument.drawingml.chart+xml"/>
  <Override PartName="/xl/charts/style66.xml" ContentType="application/vnd.ms-office.chartstyle+xml"/>
  <Override PartName="/xl/charts/colors66.xml" ContentType="application/vnd.ms-office.chartcolorstyle+xml"/>
  <Override PartName="/xl/charts/chart68.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16.xml" ContentType="application/vnd.openxmlformats-officedocument.drawing+xml"/>
  <Override PartName="/xl/charts/chart69.xml" ContentType="application/vnd.openxmlformats-officedocument.drawingml.chart+xml"/>
  <Override PartName="/xl/charts/style68.xml" ContentType="application/vnd.ms-office.chartstyle+xml"/>
  <Override PartName="/xl/charts/colors68.xml" ContentType="application/vnd.ms-office.chartcolorstyle+xml"/>
  <Override PartName="/xl/charts/chart70.xml" ContentType="application/vnd.openxmlformats-officedocument.drawingml.chart+xml"/>
  <Override PartName="/xl/charts/style69.xml" ContentType="application/vnd.ms-office.chartstyle+xml"/>
  <Override PartName="/xl/charts/colors69.xml" ContentType="application/vnd.ms-office.chartcolorstyle+xml"/>
  <Override PartName="/xl/charts/chart71.xml" ContentType="application/vnd.openxmlformats-officedocument.drawingml.chart+xml"/>
  <Override PartName="/xl/charts/style70.xml" ContentType="application/vnd.ms-office.chartstyle+xml"/>
  <Override PartName="/xl/charts/colors70.xml" ContentType="application/vnd.ms-office.chartcolorstyle+xml"/>
  <Override PartName="/xl/charts/chart72.xml" ContentType="application/vnd.openxmlformats-officedocument.drawingml.chart+xml"/>
  <Override PartName="/xl/charts/style71.xml" ContentType="application/vnd.ms-office.chartstyle+xml"/>
  <Override PartName="/xl/charts/colors71.xml" ContentType="application/vnd.ms-office.chartcolorstyle+xml"/>
  <Override PartName="/xl/charts/chart73.xml" ContentType="application/vnd.openxmlformats-officedocument.drawingml.chart+xml"/>
  <Override PartName="/xl/charts/style72.xml" ContentType="application/vnd.ms-office.chartstyle+xml"/>
  <Override PartName="/xl/charts/colors72.xml" ContentType="application/vnd.ms-office.chartcolorstyle+xml"/>
  <Override PartName="/xl/charts/chart74.xml" ContentType="application/vnd.openxmlformats-officedocument.drawingml.chart+xml"/>
  <Override PartName="/xl/charts/style73.xml" ContentType="application/vnd.ms-office.chartstyle+xml"/>
  <Override PartName="/xl/charts/colors73.xml" ContentType="application/vnd.ms-office.chartcolorstyle+xml"/>
  <Override PartName="/xl/charts/chart75.xml" ContentType="application/vnd.openxmlformats-officedocument.drawingml.chart+xml"/>
  <Override PartName="/xl/charts/style74.xml" ContentType="application/vnd.ms-office.chartstyle+xml"/>
  <Override PartName="/xl/charts/colors74.xml" ContentType="application/vnd.ms-office.chartcolorstyle+xml"/>
  <Override PartName="/xl/charts/chart76.xml" ContentType="application/vnd.openxmlformats-officedocument.drawingml.chart+xml"/>
  <Override PartName="/xl/charts/style75.xml" ContentType="application/vnd.ms-office.chartstyle+xml"/>
  <Override PartName="/xl/charts/colors75.xml" ContentType="application/vnd.ms-office.chartcolorstyle+xml"/>
  <Override PartName="/xl/charts/chart77.xml" ContentType="application/vnd.openxmlformats-officedocument.drawingml.chart+xml"/>
  <Override PartName="/xl/charts/style76.xml" ContentType="application/vnd.ms-office.chartstyle+xml"/>
  <Override PartName="/xl/charts/colors76.xml" ContentType="application/vnd.ms-office.chartcolorstyle+xml"/>
  <Override PartName="/xl/charts/chart78.xml" ContentType="application/vnd.openxmlformats-officedocument.drawingml.chart+xml"/>
  <Override PartName="/xl/charts/style77.xml" ContentType="application/vnd.ms-office.chartstyle+xml"/>
  <Override PartName="/xl/charts/colors77.xml" ContentType="application/vnd.ms-office.chartcolorstyle+xml"/>
  <Override PartName="/xl/drawings/drawing17.xml" ContentType="application/vnd.openxmlformats-officedocument.drawing+xml"/>
  <Override PartName="/xl/charts/chart79.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80.xml" ContentType="application/vnd.openxmlformats-officedocument.drawingml.chart+xml"/>
  <Override PartName="/xl/charts/style79.xml" ContentType="application/vnd.ms-office.chartstyle+xml"/>
  <Override PartName="/xl/charts/colors7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phili\Desktop\"/>
    </mc:Choice>
  </mc:AlternateContent>
  <xr:revisionPtr revIDLastSave="0" documentId="8_{772EF5AF-FF11-441D-AE64-7B3CA63E91FC}" xr6:coauthVersionLast="44" xr6:coauthVersionMax="44" xr10:uidLastSave="{00000000-0000-0000-0000-000000000000}"/>
  <bookViews>
    <workbookView xWindow="840" yWindow="-108" windowWidth="22308" windowHeight="13176" xr2:uid="{00000000-000D-0000-FFFF-FFFF00000000}"/>
  </bookViews>
  <sheets>
    <sheet name="1. All Trade" sheetId="14" r:id="rId1"/>
    <sheet name="2. Trade in Goods" sheetId="29" r:id="rId2"/>
    <sheet name="3. Trade in Services" sheetId="40" r:id="rId3"/>
    <sheet name="4. US &amp; EU Comparisons" sheetId="46" r:id="rId4"/>
    <sheet name="5. Accession impact" sheetId="49" r:id="rId5"/>
    <sheet name="6. WTO, non-EU &amp; EFTA" sheetId="50" r:id="rId6"/>
    <sheet name="7. Non-Monetary Gold" sheetId="51" r:id="rId7"/>
    <sheet name="Working Data" sheetId="43" r:id="rId8"/>
    <sheet name="8. Country data" sheetId="48" r:id="rId9"/>
    <sheet name="2016-2018 ONS Services Data" sheetId="47" r:id="rId10"/>
    <sheet name="ONS Services Trade Data 2018" sheetId="44" r:id="rId11"/>
    <sheet name="Old_2016 Data Manufacturing" sheetId="41" r:id="rId12"/>
    <sheet name="Old_Core Data_Goods" sheetId="1" r:id="rId13"/>
    <sheet name="Core Data_Services" sheetId="42" r:id="rId14"/>
    <sheet name="Additional Data" sheetId="36" r:id="rId15"/>
    <sheet name="Overall Trade Calcs" sheetId="45" r:id="rId16"/>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46" l="1"/>
  <c r="H87" i="46"/>
  <c r="I87" i="46"/>
  <c r="F87" i="46"/>
  <c r="E87" i="46"/>
  <c r="W46" i="45" l="1"/>
  <c r="V46" i="45"/>
  <c r="X47" i="45" s="1"/>
  <c r="S78" i="45"/>
  <c r="R78" i="45"/>
  <c r="Q78" i="45"/>
  <c r="P78" i="45"/>
  <c r="O78" i="45"/>
  <c r="N78" i="45"/>
  <c r="M78" i="45"/>
  <c r="L78" i="45"/>
  <c r="K78" i="45"/>
  <c r="J78" i="45"/>
  <c r="I78" i="45"/>
  <c r="H78" i="45"/>
  <c r="G78" i="45"/>
  <c r="F78" i="45"/>
  <c r="E78" i="45"/>
  <c r="D78" i="45"/>
  <c r="C78" i="45"/>
  <c r="B78" i="45"/>
  <c r="V67" i="45"/>
  <c r="V28" i="45" s="1"/>
  <c r="U67" i="45"/>
  <c r="U34" i="45" s="1"/>
  <c r="T67" i="45"/>
  <c r="T34" i="45" s="1"/>
  <c r="S67" i="45"/>
  <c r="S34" i="45" s="1"/>
  <c r="R67" i="45"/>
  <c r="R28" i="45" s="1"/>
  <c r="Q67" i="45"/>
  <c r="Q34" i="45" s="1"/>
  <c r="P67" i="45"/>
  <c r="P28" i="45" s="1"/>
  <c r="O67" i="45"/>
  <c r="O34" i="45" s="1"/>
  <c r="N67" i="45"/>
  <c r="N28" i="45" s="1"/>
  <c r="M67" i="45"/>
  <c r="M28" i="45" s="1"/>
  <c r="L67" i="45"/>
  <c r="L34" i="45" s="1"/>
  <c r="K67" i="45"/>
  <c r="K34" i="45" s="1"/>
  <c r="J67" i="45"/>
  <c r="J34" i="45" s="1"/>
  <c r="I67" i="45"/>
  <c r="I28" i="45" s="1"/>
  <c r="H67" i="45"/>
  <c r="H28" i="45" s="1"/>
  <c r="G67" i="45"/>
  <c r="G34" i="45" s="1"/>
  <c r="F67" i="45"/>
  <c r="F34" i="45" s="1"/>
  <c r="E67" i="45"/>
  <c r="E34" i="45" s="1"/>
  <c r="D67" i="45"/>
  <c r="D34" i="45" s="1"/>
  <c r="C67" i="45"/>
  <c r="C34" i="45" s="1"/>
  <c r="B67" i="45"/>
  <c r="B34" i="45" s="1"/>
  <c r="V65" i="45"/>
  <c r="V35" i="45" s="1"/>
  <c r="U65" i="45"/>
  <c r="U29" i="45" s="1"/>
  <c r="T65" i="45"/>
  <c r="T35" i="45" s="1"/>
  <c r="S65" i="45"/>
  <c r="S29" i="45" s="1"/>
  <c r="R65" i="45"/>
  <c r="R29" i="45" s="1"/>
  <c r="Q65" i="45"/>
  <c r="Q29" i="45" s="1"/>
  <c r="P65" i="45"/>
  <c r="P35" i="45" s="1"/>
  <c r="O65" i="45"/>
  <c r="O35" i="45" s="1"/>
  <c r="N65" i="45"/>
  <c r="N35" i="45" s="1"/>
  <c r="M65" i="45"/>
  <c r="M29" i="45" s="1"/>
  <c r="L65" i="45"/>
  <c r="L35" i="45" s="1"/>
  <c r="K65" i="45"/>
  <c r="K29" i="45" s="1"/>
  <c r="J65" i="45"/>
  <c r="J35" i="45" s="1"/>
  <c r="I65" i="45"/>
  <c r="I29" i="45" s="1"/>
  <c r="H65" i="45"/>
  <c r="H35" i="45" s="1"/>
  <c r="G65" i="45"/>
  <c r="G35" i="45" s="1"/>
  <c r="F65" i="45"/>
  <c r="F35" i="45" s="1"/>
  <c r="E65" i="45"/>
  <c r="E35" i="45" s="1"/>
  <c r="D65" i="45"/>
  <c r="D35" i="45" s="1"/>
  <c r="C65" i="45"/>
  <c r="C29" i="45" s="1"/>
  <c r="B65" i="45"/>
  <c r="B35" i="45" s="1"/>
  <c r="S58" i="45"/>
  <c r="H56" i="45"/>
  <c r="C56" i="45"/>
  <c r="V55" i="45"/>
  <c r="V56" i="45" s="1"/>
  <c r="U55" i="45"/>
  <c r="U56" i="45" s="1"/>
  <c r="T55" i="45"/>
  <c r="T56" i="45" s="1"/>
  <c r="S55" i="45"/>
  <c r="S56" i="45" s="1"/>
  <c r="U53" i="45"/>
  <c r="V52" i="45"/>
  <c r="U52" i="45"/>
  <c r="T52" i="45"/>
  <c r="S52" i="45"/>
  <c r="R52" i="45"/>
  <c r="Q52" i="45"/>
  <c r="P52" i="45"/>
  <c r="O52" i="45"/>
  <c r="N52" i="45"/>
  <c r="M52" i="45"/>
  <c r="L52" i="45"/>
  <c r="K52" i="45"/>
  <c r="J52" i="45"/>
  <c r="I52" i="45"/>
  <c r="H52" i="45"/>
  <c r="G52" i="45"/>
  <c r="F52" i="45"/>
  <c r="E52" i="45"/>
  <c r="D52" i="45"/>
  <c r="C52" i="45"/>
  <c r="B52" i="45"/>
  <c r="U46" i="45"/>
  <c r="V45" i="45"/>
  <c r="U45" i="45"/>
  <c r="T45" i="45"/>
  <c r="S45" i="45"/>
  <c r="R45" i="45"/>
  <c r="Q45" i="45"/>
  <c r="P45" i="45"/>
  <c r="O45" i="45"/>
  <c r="N45" i="45"/>
  <c r="M45" i="45"/>
  <c r="L45" i="45"/>
  <c r="K45" i="45"/>
  <c r="J45" i="45"/>
  <c r="I45" i="45"/>
  <c r="H45" i="45"/>
  <c r="G45" i="45"/>
  <c r="F45" i="45"/>
  <c r="E45" i="45"/>
  <c r="D45" i="45"/>
  <c r="C45" i="45"/>
  <c r="B45" i="45"/>
  <c r="X46" i="45" l="1"/>
  <c r="F28" i="45"/>
  <c r="J29" i="45"/>
  <c r="K35" i="45"/>
  <c r="K37" i="45" s="1"/>
  <c r="F29" i="45"/>
  <c r="F30" i="45" s="1"/>
  <c r="F17" i="45" s="1"/>
  <c r="E29" i="45"/>
  <c r="M35" i="45"/>
  <c r="V29" i="45"/>
  <c r="V30" i="45" s="1"/>
  <c r="V17" i="45" s="1"/>
  <c r="E28" i="45"/>
  <c r="M34" i="45"/>
  <c r="F36" i="45"/>
  <c r="F18" i="45" s="1"/>
  <c r="D28" i="45"/>
  <c r="G36" i="45"/>
  <c r="G18" i="45" s="1"/>
  <c r="O36" i="45"/>
  <c r="O18" i="45" s="1"/>
  <c r="T28" i="45"/>
  <c r="T31" i="45" s="1"/>
  <c r="M30" i="45"/>
  <c r="M17" i="45" s="1"/>
  <c r="U28" i="45"/>
  <c r="B36" i="45"/>
  <c r="B18" i="45" s="1"/>
  <c r="J36" i="45"/>
  <c r="J18" i="45" s="1"/>
  <c r="U35" i="45"/>
  <c r="U36" i="45" s="1"/>
  <c r="U18" i="45" s="1"/>
  <c r="I30" i="45"/>
  <c r="I17" i="45" s="1"/>
  <c r="R30" i="45"/>
  <c r="R17" i="45" s="1"/>
  <c r="D36" i="45"/>
  <c r="D18" i="45" s="1"/>
  <c r="L36" i="45"/>
  <c r="L18" i="45" s="1"/>
  <c r="T36" i="45"/>
  <c r="T18" i="45" s="1"/>
  <c r="H34" i="45"/>
  <c r="H36" i="45" s="1"/>
  <c r="H18" i="45" s="1"/>
  <c r="E36" i="45"/>
  <c r="E18" i="45" s="1"/>
  <c r="Q28" i="45"/>
  <c r="Q30" i="45" s="1"/>
  <c r="Q17" i="45" s="1"/>
  <c r="L29" i="45"/>
  <c r="P34" i="45"/>
  <c r="P36" i="45" s="1"/>
  <c r="P18" i="45" s="1"/>
  <c r="N34" i="45"/>
  <c r="N36" i="45" s="1"/>
  <c r="N18" i="45" s="1"/>
  <c r="V34" i="45"/>
  <c r="V36" i="45" s="1"/>
  <c r="V18" i="45" s="1"/>
  <c r="T29" i="45"/>
  <c r="Q35" i="45"/>
  <c r="Q36" i="45" s="1"/>
  <c r="Q18" i="45" s="1"/>
  <c r="B29" i="45"/>
  <c r="C35" i="45"/>
  <c r="C36" i="45" s="1"/>
  <c r="C18" i="45" s="1"/>
  <c r="S35" i="45"/>
  <c r="S36" i="45" s="1"/>
  <c r="S18" i="45" s="1"/>
  <c r="L37" i="45"/>
  <c r="R35" i="45"/>
  <c r="L28" i="45"/>
  <c r="I35" i="45"/>
  <c r="D29" i="45"/>
  <c r="N29" i="45"/>
  <c r="N31" i="45" s="1"/>
  <c r="E37" i="45"/>
  <c r="F37" i="45"/>
  <c r="I34" i="45"/>
  <c r="U38" i="45"/>
  <c r="J37" i="45"/>
  <c r="B37" i="45"/>
  <c r="R31" i="45"/>
  <c r="J28" i="45"/>
  <c r="J30" i="45" s="1"/>
  <c r="J17" i="45" s="1"/>
  <c r="S28" i="45"/>
  <c r="R34" i="45"/>
  <c r="B28" i="45"/>
  <c r="K28" i="45"/>
  <c r="G29" i="45"/>
  <c r="O29" i="45"/>
  <c r="C28" i="45"/>
  <c r="C30" i="45" s="1"/>
  <c r="C17" i="45" s="1"/>
  <c r="H29" i="45"/>
  <c r="H31" i="45" s="1"/>
  <c r="P29" i="45"/>
  <c r="P31" i="45" s="1"/>
  <c r="M31" i="45"/>
  <c r="G37" i="45"/>
  <c r="O37" i="45"/>
  <c r="W56" i="45"/>
  <c r="I31" i="45"/>
  <c r="D37" i="45"/>
  <c r="T37" i="45"/>
  <c r="W55" i="45"/>
  <c r="G28" i="45"/>
  <c r="O28" i="45"/>
  <c r="W61" i="49"/>
  <c r="R36" i="45" l="1"/>
  <c r="R18" i="45" s="1"/>
  <c r="M37" i="45"/>
  <c r="E30" i="45"/>
  <c r="E17" i="45" s="1"/>
  <c r="U32" i="45"/>
  <c r="V31" i="45"/>
  <c r="I36" i="45"/>
  <c r="I18" i="45" s="1"/>
  <c r="U31" i="45"/>
  <c r="U37" i="45"/>
  <c r="S37" i="45"/>
  <c r="K36" i="45"/>
  <c r="K18" i="45" s="1"/>
  <c r="E31" i="45"/>
  <c r="O30" i="45"/>
  <c r="O17" i="45" s="1"/>
  <c r="F31" i="45"/>
  <c r="N37" i="45"/>
  <c r="M36" i="45"/>
  <c r="M18" i="45" s="1"/>
  <c r="H7" i="45" s="1"/>
  <c r="U30" i="45"/>
  <c r="U17" i="45" s="1"/>
  <c r="X17" i="45" s="1"/>
  <c r="B7" i="45"/>
  <c r="C7" i="45"/>
  <c r="H37" i="45"/>
  <c r="V37" i="45"/>
  <c r="T30" i="45"/>
  <c r="T17" i="45" s="1"/>
  <c r="P37" i="45"/>
  <c r="C37" i="45"/>
  <c r="N30" i="45"/>
  <c r="N17" i="45" s="1"/>
  <c r="D31" i="45"/>
  <c r="D30" i="45"/>
  <c r="D17" i="45" s="1"/>
  <c r="K31" i="45"/>
  <c r="K30" i="45"/>
  <c r="K17" i="45" s="1"/>
  <c r="G30" i="45"/>
  <c r="G17" i="45" s="1"/>
  <c r="Q31" i="45"/>
  <c r="B30" i="45"/>
  <c r="B17" i="45" s="1"/>
  <c r="L30" i="45"/>
  <c r="L17" i="45" s="1"/>
  <c r="S31" i="45"/>
  <c r="S30" i="45"/>
  <c r="S17" i="45" s="1"/>
  <c r="H30" i="45"/>
  <c r="H17" i="45" s="1"/>
  <c r="B31" i="45"/>
  <c r="Q37" i="45"/>
  <c r="P30" i="45"/>
  <c r="P17" i="45" s="1"/>
  <c r="I37" i="45"/>
  <c r="L31" i="45"/>
  <c r="V19" i="45"/>
  <c r="J31" i="45"/>
  <c r="C31" i="45"/>
  <c r="R37" i="45"/>
  <c r="O31" i="45"/>
  <c r="G31" i="45"/>
  <c r="I44" i="50"/>
  <c r="U19" i="45" l="1"/>
  <c r="G7" i="45"/>
  <c r="B6" i="45"/>
  <c r="D7" i="45"/>
  <c r="E7" i="45" s="1"/>
  <c r="F7" i="45"/>
  <c r="AB53" i="45" s="1"/>
  <c r="AB50" i="45" s="1"/>
  <c r="AC50" i="45" s="1"/>
  <c r="T19" i="45"/>
  <c r="W19" i="45" s="1"/>
  <c r="C6" i="45"/>
  <c r="AB54" i="45"/>
  <c r="AB51" i="45" s="1"/>
  <c r="AB47" i="45"/>
  <c r="AB44" i="45" s="1"/>
  <c r="G6" i="45"/>
  <c r="H6" i="45"/>
  <c r="K39" i="50"/>
  <c r="D6" i="45" l="1"/>
  <c r="E6" i="45" s="1"/>
  <c r="AC53" i="45"/>
  <c r="AD53" i="45" s="1"/>
  <c r="AE53" i="45" s="1"/>
  <c r="AF53" i="45" s="1"/>
  <c r="AG53" i="45" s="1"/>
  <c r="AH53" i="45" s="1"/>
  <c r="AI53" i="45" s="1"/>
  <c r="AJ53" i="45" s="1"/>
  <c r="AK53" i="45" s="1"/>
  <c r="AL53" i="45" s="1"/>
  <c r="AM53" i="45" s="1"/>
  <c r="AN53" i="45" s="1"/>
  <c r="AO53" i="45" s="1"/>
  <c r="AP53" i="45" s="1"/>
  <c r="AQ53" i="45" s="1"/>
  <c r="AR53" i="45" s="1"/>
  <c r="F6" i="45"/>
  <c r="AB46" i="45" s="1"/>
  <c r="AB43" i="45" s="1"/>
  <c r="AC47" i="45"/>
  <c r="AD47" i="45" s="1"/>
  <c r="AE47" i="45" s="1"/>
  <c r="AF47" i="45" s="1"/>
  <c r="AG47" i="45" s="1"/>
  <c r="AH47" i="45" s="1"/>
  <c r="AI47" i="45" s="1"/>
  <c r="AJ47" i="45" s="1"/>
  <c r="AK47" i="45" s="1"/>
  <c r="AL47" i="45" s="1"/>
  <c r="AM47" i="45" s="1"/>
  <c r="AN47" i="45" s="1"/>
  <c r="AO47" i="45" s="1"/>
  <c r="AP47" i="45" s="1"/>
  <c r="AQ47" i="45" s="1"/>
  <c r="AR47" i="45" s="1"/>
  <c r="AC54" i="45"/>
  <c r="AD54" i="45" s="1"/>
  <c r="AE54" i="45" s="1"/>
  <c r="AF54" i="45" s="1"/>
  <c r="AG54" i="45" s="1"/>
  <c r="AH54" i="45" s="1"/>
  <c r="AI54" i="45" s="1"/>
  <c r="AJ54" i="45" s="1"/>
  <c r="AK54" i="45" s="1"/>
  <c r="AL54" i="45" s="1"/>
  <c r="AM54" i="45" s="1"/>
  <c r="AN54" i="45" s="1"/>
  <c r="AO54" i="45" s="1"/>
  <c r="AP54" i="45" s="1"/>
  <c r="AQ54" i="45" s="1"/>
  <c r="AR54" i="45" s="1"/>
  <c r="AC46" i="45"/>
  <c r="AD46" i="45"/>
  <c r="AD50" i="45"/>
  <c r="AE50" i="45" s="1"/>
  <c r="AC51" i="45"/>
  <c r="AB52" i="45"/>
  <c r="C62" i="50"/>
  <c r="B62" i="50"/>
  <c r="C25" i="51"/>
  <c r="D25" i="51"/>
  <c r="E25" i="51"/>
  <c r="F25" i="51"/>
  <c r="G25" i="51"/>
  <c r="H25" i="51"/>
  <c r="I25" i="51"/>
  <c r="J25" i="51"/>
  <c r="K25" i="51"/>
  <c r="L25" i="51"/>
  <c r="M25" i="51"/>
  <c r="N25" i="51"/>
  <c r="O25" i="51"/>
  <c r="O14" i="51" s="1"/>
  <c r="P25" i="51"/>
  <c r="Q25" i="51"/>
  <c r="R25" i="51"/>
  <c r="S25" i="51"/>
  <c r="T25" i="51"/>
  <c r="U25" i="51"/>
  <c r="V25" i="51"/>
  <c r="W25" i="51"/>
  <c r="W14" i="51" s="1"/>
  <c r="D21" i="51"/>
  <c r="E21" i="51"/>
  <c r="F21" i="51"/>
  <c r="F13" i="51" s="1"/>
  <c r="G21" i="51"/>
  <c r="H21" i="51"/>
  <c r="I21" i="51"/>
  <c r="J21" i="51"/>
  <c r="K21" i="51"/>
  <c r="L21" i="51"/>
  <c r="M21" i="51"/>
  <c r="N21" i="51"/>
  <c r="O21" i="51"/>
  <c r="P21" i="51"/>
  <c r="Q21" i="51"/>
  <c r="R21" i="51"/>
  <c r="S21" i="51"/>
  <c r="T21" i="51"/>
  <c r="U21" i="51"/>
  <c r="V21" i="51"/>
  <c r="W21" i="51"/>
  <c r="C21" i="51"/>
  <c r="W35" i="51"/>
  <c r="V35" i="51"/>
  <c r="U35" i="51"/>
  <c r="T35" i="51"/>
  <c r="S35" i="51"/>
  <c r="R35" i="51"/>
  <c r="Q35" i="51"/>
  <c r="Q13" i="51" s="1"/>
  <c r="P35" i="51"/>
  <c r="O35" i="51"/>
  <c r="N35" i="51"/>
  <c r="M35" i="51"/>
  <c r="L35" i="51"/>
  <c r="K35" i="51"/>
  <c r="J35" i="51"/>
  <c r="I35" i="51"/>
  <c r="H35" i="51"/>
  <c r="G35" i="51"/>
  <c r="F35" i="51"/>
  <c r="E35" i="51"/>
  <c r="D35" i="51"/>
  <c r="C35" i="51"/>
  <c r="W33" i="51"/>
  <c r="V33" i="51"/>
  <c r="U33" i="51"/>
  <c r="T33" i="51"/>
  <c r="S33" i="51"/>
  <c r="R33" i="51"/>
  <c r="Q33" i="51"/>
  <c r="P33" i="51"/>
  <c r="O33" i="51"/>
  <c r="N33" i="51"/>
  <c r="M33" i="51"/>
  <c r="L33" i="51"/>
  <c r="K33" i="51"/>
  <c r="J33" i="51"/>
  <c r="I33" i="51"/>
  <c r="H33" i="51"/>
  <c r="G33" i="51"/>
  <c r="F33" i="51"/>
  <c r="E33" i="51"/>
  <c r="D33" i="51"/>
  <c r="C33" i="51"/>
  <c r="AE46" i="45" l="1"/>
  <c r="AC44" i="45"/>
  <c r="AD44" i="45" s="1"/>
  <c r="AE44" i="45" s="1"/>
  <c r="AF44" i="45" s="1"/>
  <c r="AG44" i="45" s="1"/>
  <c r="AH44" i="45" s="1"/>
  <c r="AI44" i="45" s="1"/>
  <c r="AJ44" i="45" s="1"/>
  <c r="AK44" i="45" s="1"/>
  <c r="AL44" i="45" s="1"/>
  <c r="AM44" i="45" s="1"/>
  <c r="AN44" i="45" s="1"/>
  <c r="AO44" i="45" s="1"/>
  <c r="AP44" i="45" s="1"/>
  <c r="AQ44" i="45" s="1"/>
  <c r="AR44" i="45" s="1"/>
  <c r="AD51" i="45"/>
  <c r="AC52" i="45"/>
  <c r="AF46" i="45"/>
  <c r="AG46" i="45" s="1"/>
  <c r="AH46" i="45"/>
  <c r="AF50" i="45"/>
  <c r="AC43" i="45"/>
  <c r="AB56" i="45"/>
  <c r="AB57" i="45" s="1"/>
  <c r="AB45" i="45"/>
  <c r="D62" i="50"/>
  <c r="E62" i="50" s="1"/>
  <c r="G14" i="51"/>
  <c r="F62" i="50"/>
  <c r="S13" i="51"/>
  <c r="P13" i="51"/>
  <c r="K13" i="51"/>
  <c r="C14" i="51"/>
  <c r="K14" i="51"/>
  <c r="S14" i="51"/>
  <c r="O13" i="51"/>
  <c r="V14" i="51"/>
  <c r="I13" i="51"/>
  <c r="R13" i="51"/>
  <c r="H13" i="51"/>
  <c r="J13" i="51"/>
  <c r="G13" i="51"/>
  <c r="D13" i="51"/>
  <c r="R14" i="51"/>
  <c r="J14" i="51"/>
  <c r="F14" i="51"/>
  <c r="T14" i="51"/>
  <c r="L14" i="51"/>
  <c r="D14" i="51"/>
  <c r="U14" i="51"/>
  <c r="V13" i="51"/>
  <c r="N13" i="51"/>
  <c r="N14" i="51"/>
  <c r="E14" i="51"/>
  <c r="U13" i="51"/>
  <c r="M13" i="51"/>
  <c r="E13" i="51"/>
  <c r="Q14" i="51"/>
  <c r="I14" i="51"/>
  <c r="M14" i="51"/>
  <c r="T13" i="51"/>
  <c r="L13" i="51"/>
  <c r="P14" i="51"/>
  <c r="H14" i="51"/>
  <c r="W13" i="51"/>
  <c r="C13" i="51"/>
  <c r="AA20" i="51"/>
  <c r="AB20" i="51" s="1"/>
  <c r="AC20" i="51" s="1"/>
  <c r="AD20" i="51" s="1"/>
  <c r="AE20" i="51" s="1"/>
  <c r="AF20" i="51" s="1"/>
  <c r="AA21" i="51"/>
  <c r="AB21" i="51" s="1"/>
  <c r="AC21" i="51" s="1"/>
  <c r="AD21" i="51" s="1"/>
  <c r="AE21" i="51" s="1"/>
  <c r="AF21" i="51" s="1"/>
  <c r="AG21" i="51" s="1"/>
  <c r="AH21" i="51" s="1"/>
  <c r="AI21" i="51" s="1"/>
  <c r="AJ21" i="51" s="1"/>
  <c r="AK21" i="51" s="1"/>
  <c r="AL21" i="51" s="1"/>
  <c r="AM21" i="51" s="1"/>
  <c r="AN21" i="51" s="1"/>
  <c r="AO21" i="51" s="1"/>
  <c r="AP21" i="51" s="1"/>
  <c r="AQ21" i="51" s="1"/>
  <c r="AG50" i="45" l="1"/>
  <c r="AI46" i="45"/>
  <c r="AJ46" i="45" s="1"/>
  <c r="AK46" i="45"/>
  <c r="AC45" i="45"/>
  <c r="AC56" i="45"/>
  <c r="AC57" i="45" s="1"/>
  <c r="AD43" i="45"/>
  <c r="AE51" i="45"/>
  <c r="AD52" i="45"/>
  <c r="C7" i="51"/>
  <c r="C8" i="51"/>
  <c r="D7" i="51"/>
  <c r="D8" i="51"/>
  <c r="AG20" i="51"/>
  <c r="AN46" i="45" l="1"/>
  <c r="AL46" i="45"/>
  <c r="AF51" i="45"/>
  <c r="AE52" i="45"/>
  <c r="AD45" i="45"/>
  <c r="AD56" i="45"/>
  <c r="AD57" i="45" s="1"/>
  <c r="AE43" i="45"/>
  <c r="AH50" i="45"/>
  <c r="G7" i="51"/>
  <c r="E8" i="51"/>
  <c r="F8" i="51" s="1"/>
  <c r="G8" i="51"/>
  <c r="E7" i="51"/>
  <c r="F7" i="51" s="1"/>
  <c r="AH20" i="51"/>
  <c r="AI20" i="51" s="1"/>
  <c r="AJ20" i="51" s="1"/>
  <c r="AO46" i="45" l="1"/>
  <c r="AM46" i="45"/>
  <c r="AG51" i="45"/>
  <c r="AF52" i="45"/>
  <c r="AI50" i="45"/>
  <c r="AE56" i="45"/>
  <c r="AE57" i="45" s="1"/>
  <c r="AF43" i="45"/>
  <c r="AE45" i="45"/>
  <c r="AK20" i="51"/>
  <c r="AL20" i="51" s="1"/>
  <c r="AM20" i="51" s="1"/>
  <c r="AN20" i="51" s="1"/>
  <c r="AJ50" i="45" l="1"/>
  <c r="AH51" i="45"/>
  <c r="AG52" i="45"/>
  <c r="AF56" i="45"/>
  <c r="AF57" i="45" s="1"/>
  <c r="AG43" i="45"/>
  <c r="AF45" i="45"/>
  <c r="AR46" i="45"/>
  <c r="AP46" i="45"/>
  <c r="AQ46" i="45" s="1"/>
  <c r="AO20" i="51"/>
  <c r="AP20" i="51" s="1"/>
  <c r="AQ20" i="51" s="1"/>
  <c r="AI51" i="45" l="1"/>
  <c r="AH52" i="45"/>
  <c r="AK50" i="45"/>
  <c r="AH43" i="45"/>
  <c r="AG56" i="45"/>
  <c r="AG57" i="45" s="1"/>
  <c r="AG45" i="45"/>
  <c r="B8" i="50"/>
  <c r="V112" i="50"/>
  <c r="W112" i="50" s="1"/>
  <c r="C112" i="50"/>
  <c r="D112" i="50"/>
  <c r="E112" i="50"/>
  <c r="F112" i="50"/>
  <c r="G112" i="50"/>
  <c r="H112" i="50"/>
  <c r="I112" i="50"/>
  <c r="J112" i="50"/>
  <c r="K112" i="50"/>
  <c r="L112" i="50"/>
  <c r="M112" i="50"/>
  <c r="N112" i="50"/>
  <c r="O112" i="50"/>
  <c r="P112" i="50"/>
  <c r="Q112" i="50"/>
  <c r="R112" i="50"/>
  <c r="S112" i="50"/>
  <c r="T112" i="50"/>
  <c r="U112" i="50"/>
  <c r="B112" i="50"/>
  <c r="C69" i="48"/>
  <c r="D69" i="48"/>
  <c r="E69" i="48"/>
  <c r="F69" i="48"/>
  <c r="G69" i="48"/>
  <c r="H69" i="48"/>
  <c r="I69" i="48"/>
  <c r="J69" i="48"/>
  <c r="K69" i="48"/>
  <c r="L69" i="48"/>
  <c r="M69" i="48"/>
  <c r="N69" i="48"/>
  <c r="O69" i="48"/>
  <c r="P69" i="48"/>
  <c r="Q69" i="48"/>
  <c r="R69" i="48"/>
  <c r="S69" i="48"/>
  <c r="T69" i="48"/>
  <c r="U69" i="48"/>
  <c r="V69" i="48"/>
  <c r="B69" i="48"/>
  <c r="C94" i="50"/>
  <c r="D94" i="50"/>
  <c r="E94" i="50"/>
  <c r="F94" i="50"/>
  <c r="G94" i="50"/>
  <c r="H94" i="50"/>
  <c r="I94" i="50"/>
  <c r="J94" i="50"/>
  <c r="K94" i="50"/>
  <c r="L94" i="50"/>
  <c r="M94" i="50"/>
  <c r="N94" i="50"/>
  <c r="O94" i="50"/>
  <c r="P94" i="50"/>
  <c r="Q94" i="50"/>
  <c r="R94" i="50"/>
  <c r="S94" i="50"/>
  <c r="T94" i="50"/>
  <c r="U94" i="50"/>
  <c r="V94" i="50"/>
  <c r="B18" i="50" s="1"/>
  <c r="C95" i="50"/>
  <c r="D95" i="50"/>
  <c r="E95" i="50"/>
  <c r="F95" i="50"/>
  <c r="G95" i="50"/>
  <c r="H95" i="50"/>
  <c r="I95" i="50"/>
  <c r="J95" i="50"/>
  <c r="K95" i="50"/>
  <c r="L95" i="50"/>
  <c r="M95" i="50"/>
  <c r="N95" i="50"/>
  <c r="O95" i="50"/>
  <c r="P95" i="50"/>
  <c r="Q95" i="50"/>
  <c r="R95" i="50"/>
  <c r="S95" i="50"/>
  <c r="T95" i="50"/>
  <c r="U95" i="50"/>
  <c r="V95" i="50"/>
  <c r="B19" i="50" s="1"/>
  <c r="C96" i="50"/>
  <c r="D96" i="50"/>
  <c r="E96" i="50"/>
  <c r="F96" i="50"/>
  <c r="G96" i="50"/>
  <c r="H96" i="50"/>
  <c r="I96" i="50"/>
  <c r="J96" i="50"/>
  <c r="K96" i="50"/>
  <c r="L96" i="50"/>
  <c r="M96" i="50"/>
  <c r="N96" i="50"/>
  <c r="O96" i="50"/>
  <c r="P96" i="50"/>
  <c r="Q96" i="50"/>
  <c r="R96" i="50"/>
  <c r="S96" i="50"/>
  <c r="T96" i="50"/>
  <c r="U96" i="50"/>
  <c r="V96" i="50"/>
  <c r="B20" i="50" s="1"/>
  <c r="C97" i="50"/>
  <c r="D97" i="50"/>
  <c r="E97" i="50"/>
  <c r="F97" i="50"/>
  <c r="G97" i="50"/>
  <c r="H97" i="50"/>
  <c r="I97" i="50"/>
  <c r="J97" i="50"/>
  <c r="K97" i="50"/>
  <c r="L97" i="50"/>
  <c r="M97" i="50"/>
  <c r="N97" i="50"/>
  <c r="O97" i="50"/>
  <c r="P97" i="50"/>
  <c r="Q97" i="50"/>
  <c r="R97" i="50"/>
  <c r="S97" i="50"/>
  <c r="T97" i="50"/>
  <c r="U97" i="50"/>
  <c r="V97" i="50"/>
  <c r="B21" i="50" s="1"/>
  <c r="C98" i="50"/>
  <c r="D98" i="50"/>
  <c r="E98" i="50"/>
  <c r="F98" i="50"/>
  <c r="G98" i="50"/>
  <c r="H98" i="50"/>
  <c r="I98" i="50"/>
  <c r="J98" i="50"/>
  <c r="K98" i="50"/>
  <c r="L98" i="50"/>
  <c r="M98" i="50"/>
  <c r="N98" i="50"/>
  <c r="O98" i="50"/>
  <c r="P98" i="50"/>
  <c r="Q98" i="50"/>
  <c r="R98" i="50"/>
  <c r="S98" i="50"/>
  <c r="T98" i="50"/>
  <c r="U98" i="50"/>
  <c r="V98" i="50"/>
  <c r="B22" i="50" s="1"/>
  <c r="C99" i="50"/>
  <c r="D99" i="50"/>
  <c r="E99" i="50"/>
  <c r="F99" i="50"/>
  <c r="G99" i="50"/>
  <c r="H99" i="50"/>
  <c r="I99" i="50"/>
  <c r="J99" i="50"/>
  <c r="K99" i="50"/>
  <c r="L99" i="50"/>
  <c r="M99" i="50"/>
  <c r="N99" i="50"/>
  <c r="O99" i="50"/>
  <c r="P99" i="50"/>
  <c r="Q99" i="50"/>
  <c r="R99" i="50"/>
  <c r="S99" i="50"/>
  <c r="T99" i="50"/>
  <c r="U99" i="50"/>
  <c r="V99" i="50"/>
  <c r="B23" i="50" s="1"/>
  <c r="C100" i="50"/>
  <c r="D100" i="50"/>
  <c r="E100" i="50"/>
  <c r="F100" i="50"/>
  <c r="G100" i="50"/>
  <c r="H100" i="50"/>
  <c r="I100" i="50"/>
  <c r="J100" i="50"/>
  <c r="K100" i="50"/>
  <c r="L100" i="50"/>
  <c r="M100" i="50"/>
  <c r="N100" i="50"/>
  <c r="O100" i="50"/>
  <c r="P100" i="50"/>
  <c r="Q100" i="50"/>
  <c r="R100" i="50"/>
  <c r="S100" i="50"/>
  <c r="T100" i="50"/>
  <c r="U100" i="50"/>
  <c r="V100" i="50"/>
  <c r="B24" i="50" s="1"/>
  <c r="C101" i="50"/>
  <c r="D101" i="50"/>
  <c r="E101" i="50"/>
  <c r="F101" i="50"/>
  <c r="G101" i="50"/>
  <c r="H101" i="50"/>
  <c r="I101" i="50"/>
  <c r="J101" i="50"/>
  <c r="K101" i="50"/>
  <c r="L101" i="50"/>
  <c r="M101" i="50"/>
  <c r="N101" i="50"/>
  <c r="O101" i="50"/>
  <c r="P101" i="50"/>
  <c r="Q101" i="50"/>
  <c r="R101" i="50"/>
  <c r="S101" i="50"/>
  <c r="T101" i="50"/>
  <c r="U101" i="50"/>
  <c r="V101" i="50"/>
  <c r="B25" i="50" s="1"/>
  <c r="C102" i="50"/>
  <c r="D102" i="50"/>
  <c r="E102" i="50"/>
  <c r="F102" i="50"/>
  <c r="G102" i="50"/>
  <c r="H102" i="50"/>
  <c r="I102" i="50"/>
  <c r="J102" i="50"/>
  <c r="K102" i="50"/>
  <c r="L102" i="50"/>
  <c r="M102" i="50"/>
  <c r="N102" i="50"/>
  <c r="O102" i="50"/>
  <c r="P102" i="50"/>
  <c r="Q102" i="50"/>
  <c r="R102" i="50"/>
  <c r="S102" i="50"/>
  <c r="T102" i="50"/>
  <c r="U102" i="50"/>
  <c r="V102" i="50"/>
  <c r="B26" i="50" s="1"/>
  <c r="C103" i="50"/>
  <c r="D103" i="50"/>
  <c r="E103" i="50"/>
  <c r="F103" i="50"/>
  <c r="G103" i="50"/>
  <c r="H103" i="50"/>
  <c r="I103" i="50"/>
  <c r="J103" i="50"/>
  <c r="K103" i="50"/>
  <c r="L103" i="50"/>
  <c r="M103" i="50"/>
  <c r="N103" i="50"/>
  <c r="O103" i="50"/>
  <c r="P103" i="50"/>
  <c r="Q103" i="50"/>
  <c r="R103" i="50"/>
  <c r="S103" i="50"/>
  <c r="T103" i="50"/>
  <c r="U103" i="50"/>
  <c r="V103" i="50"/>
  <c r="B27" i="50" s="1"/>
  <c r="C104" i="50"/>
  <c r="D104" i="50"/>
  <c r="E104" i="50"/>
  <c r="F104" i="50"/>
  <c r="G104" i="50"/>
  <c r="H104" i="50"/>
  <c r="I104" i="50"/>
  <c r="J104" i="50"/>
  <c r="K104" i="50"/>
  <c r="L104" i="50"/>
  <c r="M104" i="50"/>
  <c r="N104" i="50"/>
  <c r="O104" i="50"/>
  <c r="P104" i="50"/>
  <c r="Q104" i="50"/>
  <c r="R104" i="50"/>
  <c r="S104" i="50"/>
  <c r="T104" i="50"/>
  <c r="U104" i="50"/>
  <c r="V104" i="50"/>
  <c r="B28" i="50" s="1"/>
  <c r="C105" i="50"/>
  <c r="D105" i="50"/>
  <c r="E105" i="50"/>
  <c r="F105" i="50"/>
  <c r="G105" i="50"/>
  <c r="H105" i="50"/>
  <c r="I105" i="50"/>
  <c r="J105" i="50"/>
  <c r="K105" i="50"/>
  <c r="L105" i="50"/>
  <c r="M105" i="50"/>
  <c r="N105" i="50"/>
  <c r="O105" i="50"/>
  <c r="P105" i="50"/>
  <c r="Q105" i="50"/>
  <c r="R105" i="50"/>
  <c r="S105" i="50"/>
  <c r="T105" i="50"/>
  <c r="U105" i="50"/>
  <c r="V105" i="50"/>
  <c r="B29" i="50" s="1"/>
  <c r="C106" i="50"/>
  <c r="D106" i="50"/>
  <c r="E106" i="50"/>
  <c r="F106" i="50"/>
  <c r="G106" i="50"/>
  <c r="H106" i="50"/>
  <c r="I106" i="50"/>
  <c r="J106" i="50"/>
  <c r="K106" i="50"/>
  <c r="L106" i="50"/>
  <c r="M106" i="50"/>
  <c r="N106" i="50"/>
  <c r="O106" i="50"/>
  <c r="P106" i="50"/>
  <c r="Q106" i="50"/>
  <c r="R106" i="50"/>
  <c r="S106" i="50"/>
  <c r="T106" i="50"/>
  <c r="U106" i="50"/>
  <c r="V106" i="50"/>
  <c r="B30" i="50" s="1"/>
  <c r="B95" i="50"/>
  <c r="B96" i="50"/>
  <c r="B97" i="50"/>
  <c r="B98" i="50"/>
  <c r="B99" i="50"/>
  <c r="B100" i="50"/>
  <c r="B101" i="50"/>
  <c r="B102" i="50"/>
  <c r="B103" i="50"/>
  <c r="B104" i="50"/>
  <c r="B105" i="50"/>
  <c r="B106" i="50"/>
  <c r="B94" i="50"/>
  <c r="V131" i="50"/>
  <c r="U131" i="50"/>
  <c r="T131" i="50"/>
  <c r="S131" i="50"/>
  <c r="R131" i="50"/>
  <c r="Q131" i="50"/>
  <c r="P131" i="50"/>
  <c r="O131" i="50"/>
  <c r="N131" i="50"/>
  <c r="M131" i="50"/>
  <c r="L131" i="50"/>
  <c r="K131" i="50"/>
  <c r="J131" i="50"/>
  <c r="I131" i="50"/>
  <c r="H131" i="50"/>
  <c r="G131" i="50"/>
  <c r="F131" i="50"/>
  <c r="E131" i="50"/>
  <c r="D131" i="50"/>
  <c r="C131" i="50"/>
  <c r="B131" i="50"/>
  <c r="V129" i="50"/>
  <c r="U129" i="50"/>
  <c r="T129" i="50"/>
  <c r="S129" i="50"/>
  <c r="R129" i="50"/>
  <c r="Q129" i="50"/>
  <c r="P129" i="50"/>
  <c r="O129" i="50"/>
  <c r="N129" i="50"/>
  <c r="M129" i="50"/>
  <c r="L129" i="50"/>
  <c r="K129" i="50"/>
  <c r="J129" i="50"/>
  <c r="I129" i="50"/>
  <c r="H129" i="50"/>
  <c r="G129" i="50"/>
  <c r="F129" i="50"/>
  <c r="E129" i="50"/>
  <c r="D129" i="50"/>
  <c r="C129" i="50"/>
  <c r="B129" i="50"/>
  <c r="AB108" i="50"/>
  <c r="AC108" i="50" s="1"/>
  <c r="AD108" i="50" s="1"/>
  <c r="AE108" i="50" s="1"/>
  <c r="AF108" i="50" s="1"/>
  <c r="AG108" i="50" s="1"/>
  <c r="AH108" i="50" s="1"/>
  <c r="AI108" i="50" s="1"/>
  <c r="AJ108" i="50" s="1"/>
  <c r="AK108" i="50" s="1"/>
  <c r="AL108" i="50" s="1"/>
  <c r="AM108" i="50" s="1"/>
  <c r="AN108" i="50" s="1"/>
  <c r="AO108" i="50" s="1"/>
  <c r="AP108" i="50" s="1"/>
  <c r="AQ108" i="50" s="1"/>
  <c r="AR108" i="50" s="1"/>
  <c r="AB99" i="50"/>
  <c r="AC99" i="50" s="1"/>
  <c r="AD99" i="50" s="1"/>
  <c r="AE99" i="50" s="1"/>
  <c r="AF99" i="50" s="1"/>
  <c r="AG99" i="50" s="1"/>
  <c r="AH99" i="50" s="1"/>
  <c r="AI99" i="50" s="1"/>
  <c r="AJ99" i="50" s="1"/>
  <c r="AK99" i="50" s="1"/>
  <c r="AL99" i="50" s="1"/>
  <c r="AM99" i="50" s="1"/>
  <c r="AN99" i="50" s="1"/>
  <c r="AO99" i="50" s="1"/>
  <c r="AP99" i="50" s="1"/>
  <c r="AQ99" i="50" s="1"/>
  <c r="AR99" i="50" s="1"/>
  <c r="AD98" i="50"/>
  <c r="AC98" i="50"/>
  <c r="AB98" i="50"/>
  <c r="AE98" i="50" s="1"/>
  <c r="K62" i="49"/>
  <c r="S62" i="49"/>
  <c r="F61" i="49"/>
  <c r="F49" i="49" s="1"/>
  <c r="N61" i="49"/>
  <c r="N49" i="49" s="1"/>
  <c r="B53" i="49"/>
  <c r="E7" i="49"/>
  <c r="B29" i="49"/>
  <c r="B16" i="49"/>
  <c r="B17" i="49"/>
  <c r="B18" i="49"/>
  <c r="B19" i="49"/>
  <c r="B20" i="49"/>
  <c r="B21" i="49"/>
  <c r="B22" i="49"/>
  <c r="B23" i="49"/>
  <c r="B24" i="49"/>
  <c r="B25" i="49"/>
  <c r="B26" i="49"/>
  <c r="B14" i="49"/>
  <c r="B15" i="49"/>
  <c r="B13" i="49"/>
  <c r="V71" i="49"/>
  <c r="U71" i="49"/>
  <c r="T71" i="49"/>
  <c r="S71" i="49"/>
  <c r="R71" i="49"/>
  <c r="Q71" i="49"/>
  <c r="P71" i="49"/>
  <c r="O71" i="49"/>
  <c r="N71" i="49"/>
  <c r="M71" i="49"/>
  <c r="L71" i="49"/>
  <c r="K71" i="49"/>
  <c r="J71" i="49"/>
  <c r="I71" i="49"/>
  <c r="H71" i="49"/>
  <c r="G71" i="49"/>
  <c r="F71" i="49"/>
  <c r="E71" i="49"/>
  <c r="D71" i="49"/>
  <c r="C71" i="49"/>
  <c r="B71" i="49"/>
  <c r="V69" i="49"/>
  <c r="U69" i="49"/>
  <c r="T69" i="49"/>
  <c r="S69" i="49"/>
  <c r="R69" i="49"/>
  <c r="Q69" i="49"/>
  <c r="P69" i="49"/>
  <c r="O69" i="49"/>
  <c r="N69" i="49"/>
  <c r="M69" i="49"/>
  <c r="L69" i="49"/>
  <c r="K69" i="49"/>
  <c r="J69" i="49"/>
  <c r="I69" i="49"/>
  <c r="H69" i="49"/>
  <c r="G69" i="49"/>
  <c r="F69" i="49"/>
  <c r="E69" i="49"/>
  <c r="D69" i="49"/>
  <c r="C69" i="49"/>
  <c r="B69" i="49"/>
  <c r="C41" i="48"/>
  <c r="C62" i="49" s="1"/>
  <c r="D41" i="48"/>
  <c r="D62" i="49" s="1"/>
  <c r="E41" i="48"/>
  <c r="E62" i="49" s="1"/>
  <c r="F41" i="48"/>
  <c r="F62" i="49" s="1"/>
  <c r="G41" i="48"/>
  <c r="H41" i="48"/>
  <c r="I41" i="48"/>
  <c r="J41" i="48"/>
  <c r="K41" i="48"/>
  <c r="L41" i="48"/>
  <c r="L62" i="49" s="1"/>
  <c r="M41" i="48"/>
  <c r="M62" i="49" s="1"/>
  <c r="N41" i="48"/>
  <c r="N62" i="49" s="1"/>
  <c r="O41" i="48"/>
  <c r="P41" i="48"/>
  <c r="Q41" i="48"/>
  <c r="R41" i="48"/>
  <c r="S41" i="48"/>
  <c r="T41" i="48"/>
  <c r="T62" i="49" s="1"/>
  <c r="U41" i="48"/>
  <c r="U62" i="49" s="1"/>
  <c r="V41" i="48"/>
  <c r="C35" i="48"/>
  <c r="D35" i="48"/>
  <c r="E35" i="48"/>
  <c r="F35" i="48"/>
  <c r="G35" i="48"/>
  <c r="H35" i="48"/>
  <c r="H61" i="49" s="1"/>
  <c r="H49" i="49" s="1"/>
  <c r="I35" i="48"/>
  <c r="J35" i="48"/>
  <c r="K35" i="48"/>
  <c r="L35" i="48"/>
  <c r="M35" i="48"/>
  <c r="N35" i="48"/>
  <c r="O35" i="48"/>
  <c r="P35" i="48"/>
  <c r="P61" i="49" s="1"/>
  <c r="P49" i="49" s="1"/>
  <c r="Q35" i="48"/>
  <c r="Q61" i="49" s="1"/>
  <c r="Q49" i="49" s="1"/>
  <c r="R35" i="48"/>
  <c r="S35" i="48"/>
  <c r="S61" i="49" s="1"/>
  <c r="S49" i="49" s="1"/>
  <c r="T35" i="48"/>
  <c r="T61" i="49" s="1"/>
  <c r="T49" i="49" s="1"/>
  <c r="U35" i="48"/>
  <c r="V35" i="48"/>
  <c r="B27" i="49" s="1"/>
  <c r="D21" i="48"/>
  <c r="E21" i="48"/>
  <c r="F21" i="48"/>
  <c r="G21" i="48"/>
  <c r="H21" i="48"/>
  <c r="I21" i="48"/>
  <c r="I53" i="49" s="1"/>
  <c r="J21" i="48"/>
  <c r="K21" i="48"/>
  <c r="L21" i="48"/>
  <c r="M21" i="48"/>
  <c r="N21" i="48"/>
  <c r="O21" i="48"/>
  <c r="P21" i="48"/>
  <c r="Q21" i="48"/>
  <c r="Q53" i="49" s="1"/>
  <c r="R21" i="48"/>
  <c r="S21" i="48"/>
  <c r="T21" i="48"/>
  <c r="U21" i="48"/>
  <c r="V21" i="48"/>
  <c r="C21" i="48"/>
  <c r="B41" i="48"/>
  <c r="B35" i="48"/>
  <c r="B61" i="49" s="1"/>
  <c r="B49" i="49" s="1"/>
  <c r="B21" i="48"/>
  <c r="W7" i="48"/>
  <c r="W8" i="48" s="1"/>
  <c r="AL50" i="45" l="1"/>
  <c r="AJ51" i="45"/>
  <c r="AI52" i="45"/>
  <c r="AH56" i="45"/>
  <c r="AH57" i="45" s="1"/>
  <c r="AH45" i="45"/>
  <c r="AI43" i="45"/>
  <c r="B9" i="50"/>
  <c r="B12" i="50" s="1"/>
  <c r="L51" i="50"/>
  <c r="B11" i="50"/>
  <c r="C11" i="50" s="1"/>
  <c r="B13" i="50"/>
  <c r="C9" i="50"/>
  <c r="C88" i="50"/>
  <c r="C86" i="50"/>
  <c r="C89" i="50"/>
  <c r="C85" i="50"/>
  <c r="C87" i="50"/>
  <c r="C90" i="50"/>
  <c r="D85" i="50"/>
  <c r="D88" i="50"/>
  <c r="D90" i="50"/>
  <c r="D86" i="50"/>
  <c r="D89" i="50"/>
  <c r="D87" i="50"/>
  <c r="L86" i="50"/>
  <c r="L87" i="50"/>
  <c r="L88" i="50"/>
  <c r="L89" i="50"/>
  <c r="L90" i="50"/>
  <c r="L85" i="50"/>
  <c r="T86" i="50"/>
  <c r="T87" i="50"/>
  <c r="T88" i="50"/>
  <c r="T89" i="50"/>
  <c r="T85" i="50"/>
  <c r="T90" i="50"/>
  <c r="J51" i="50"/>
  <c r="U85" i="50"/>
  <c r="U86" i="50"/>
  <c r="U87" i="50"/>
  <c r="U88" i="50"/>
  <c r="U89" i="50"/>
  <c r="U90" i="50"/>
  <c r="E90" i="50"/>
  <c r="E85" i="50"/>
  <c r="E88" i="50"/>
  <c r="E86" i="50"/>
  <c r="E89" i="50"/>
  <c r="E87" i="50"/>
  <c r="F86" i="50"/>
  <c r="F85" i="50"/>
  <c r="F87" i="50"/>
  <c r="F88" i="50"/>
  <c r="F89" i="50"/>
  <c r="F90" i="50"/>
  <c r="N85" i="50"/>
  <c r="N86" i="50"/>
  <c r="N87" i="50"/>
  <c r="N88" i="50"/>
  <c r="N89" i="50"/>
  <c r="N90" i="50"/>
  <c r="V85" i="50"/>
  <c r="W85" i="50" s="1"/>
  <c r="G56" i="50" s="1"/>
  <c r="V86" i="50"/>
  <c r="W86" i="50" s="1"/>
  <c r="G57" i="50" s="1"/>
  <c r="V87" i="50"/>
  <c r="W87" i="50" s="1"/>
  <c r="G58" i="50" s="1"/>
  <c r="V88" i="50"/>
  <c r="W88" i="50" s="1"/>
  <c r="G59" i="50" s="1"/>
  <c r="V89" i="50"/>
  <c r="W89" i="50" s="1"/>
  <c r="G60" i="50" s="1"/>
  <c r="V90" i="50"/>
  <c r="W90" i="50" s="1"/>
  <c r="G61" i="50" s="1"/>
  <c r="K87" i="50"/>
  <c r="K86" i="50"/>
  <c r="K88" i="50"/>
  <c r="K89" i="50"/>
  <c r="K90" i="50"/>
  <c r="K85" i="50"/>
  <c r="S87" i="50"/>
  <c r="S88" i="50"/>
  <c r="S89" i="50"/>
  <c r="S90" i="50"/>
  <c r="S85" i="50"/>
  <c r="S86" i="50"/>
  <c r="M85" i="50"/>
  <c r="M86" i="50"/>
  <c r="M88" i="50"/>
  <c r="M87" i="50"/>
  <c r="M89" i="50"/>
  <c r="M90" i="50"/>
  <c r="G85" i="50"/>
  <c r="G86" i="50"/>
  <c r="G90" i="50"/>
  <c r="G87" i="50"/>
  <c r="G88" i="50"/>
  <c r="G89" i="50"/>
  <c r="O86" i="50"/>
  <c r="O85" i="50"/>
  <c r="O87" i="50"/>
  <c r="O88" i="50"/>
  <c r="O89" i="50"/>
  <c r="O90" i="50"/>
  <c r="H90" i="50"/>
  <c r="H89" i="50"/>
  <c r="H85" i="50"/>
  <c r="H86" i="50"/>
  <c r="H87" i="50"/>
  <c r="H88" i="50"/>
  <c r="P90" i="50"/>
  <c r="P89" i="50"/>
  <c r="P85" i="50"/>
  <c r="P86" i="50"/>
  <c r="P87" i="50"/>
  <c r="P88" i="50"/>
  <c r="I89" i="50"/>
  <c r="I90" i="50"/>
  <c r="I88" i="50"/>
  <c r="I85" i="50"/>
  <c r="I86" i="50"/>
  <c r="I87" i="50"/>
  <c r="Q89" i="50"/>
  <c r="Q90" i="50"/>
  <c r="Q85" i="50"/>
  <c r="Q86" i="50"/>
  <c r="Q87" i="50"/>
  <c r="Q88" i="50"/>
  <c r="B90" i="50"/>
  <c r="B88" i="50"/>
  <c r="B89" i="50"/>
  <c r="B87" i="50"/>
  <c r="B86" i="50"/>
  <c r="B85" i="50"/>
  <c r="J88" i="50"/>
  <c r="J89" i="50"/>
  <c r="J90" i="50"/>
  <c r="J85" i="50"/>
  <c r="J86" i="50"/>
  <c r="J87" i="50"/>
  <c r="R88" i="50"/>
  <c r="R89" i="50"/>
  <c r="R90" i="50"/>
  <c r="R85" i="50"/>
  <c r="R86" i="50"/>
  <c r="R87" i="50"/>
  <c r="O71" i="50"/>
  <c r="G71" i="50"/>
  <c r="N71" i="50"/>
  <c r="F71" i="50"/>
  <c r="M71" i="50"/>
  <c r="T71" i="50"/>
  <c r="L71" i="50"/>
  <c r="D71" i="50"/>
  <c r="U71" i="50"/>
  <c r="S71" i="50"/>
  <c r="K71" i="50"/>
  <c r="C71" i="50"/>
  <c r="B71" i="50"/>
  <c r="R71" i="50"/>
  <c r="J71" i="50"/>
  <c r="E71" i="50"/>
  <c r="Q71" i="50"/>
  <c r="I71" i="50"/>
  <c r="P71" i="50"/>
  <c r="H71" i="50"/>
  <c r="C28" i="50"/>
  <c r="C26" i="50"/>
  <c r="C24" i="50"/>
  <c r="C22" i="50"/>
  <c r="C29" i="50"/>
  <c r="C27" i="50"/>
  <c r="C23" i="50"/>
  <c r="C20" i="50"/>
  <c r="C19" i="50"/>
  <c r="C18" i="50"/>
  <c r="C30" i="50"/>
  <c r="B10" i="50"/>
  <c r="C10" i="50" s="1"/>
  <c r="C25" i="50"/>
  <c r="W103" i="50"/>
  <c r="W101" i="50"/>
  <c r="W99" i="50"/>
  <c r="W95" i="50"/>
  <c r="W100" i="50"/>
  <c r="C21" i="50"/>
  <c r="W106" i="50"/>
  <c r="W98" i="50"/>
  <c r="V71" i="50"/>
  <c r="W94" i="50"/>
  <c r="W105" i="50"/>
  <c r="W97" i="50"/>
  <c r="W104" i="50"/>
  <c r="W96" i="50"/>
  <c r="W102" i="50"/>
  <c r="P76" i="50"/>
  <c r="H76" i="50"/>
  <c r="U84" i="50"/>
  <c r="M84" i="50"/>
  <c r="E84" i="50"/>
  <c r="T84" i="50"/>
  <c r="L84" i="50"/>
  <c r="D84" i="50"/>
  <c r="B79" i="50"/>
  <c r="R79" i="50"/>
  <c r="J79" i="50"/>
  <c r="R77" i="50"/>
  <c r="J77" i="50"/>
  <c r="S84" i="50"/>
  <c r="K84" i="50"/>
  <c r="C84" i="50"/>
  <c r="B78" i="50"/>
  <c r="R84" i="50"/>
  <c r="J84" i="50"/>
  <c r="E78" i="50"/>
  <c r="E76" i="50"/>
  <c r="E74" i="50"/>
  <c r="E72" i="50"/>
  <c r="B84" i="50"/>
  <c r="Q84" i="50"/>
  <c r="I84" i="50"/>
  <c r="U78" i="50"/>
  <c r="M78" i="50"/>
  <c r="U76" i="50"/>
  <c r="M76" i="50"/>
  <c r="U74" i="50"/>
  <c r="M74" i="50"/>
  <c r="U72" i="50"/>
  <c r="M72" i="50"/>
  <c r="U70" i="50"/>
  <c r="V84" i="50"/>
  <c r="P84" i="50"/>
  <c r="H84" i="50"/>
  <c r="O84" i="50"/>
  <c r="G84" i="50"/>
  <c r="N84" i="50"/>
  <c r="F84" i="50"/>
  <c r="T76" i="50"/>
  <c r="L76" i="50"/>
  <c r="D76" i="50"/>
  <c r="V79" i="50"/>
  <c r="N79" i="50"/>
  <c r="F79" i="50"/>
  <c r="V77" i="50"/>
  <c r="N77" i="50"/>
  <c r="F77" i="50"/>
  <c r="R76" i="50"/>
  <c r="J76" i="50"/>
  <c r="B72" i="50"/>
  <c r="S79" i="50"/>
  <c r="K79" i="50"/>
  <c r="C79" i="50"/>
  <c r="S77" i="50"/>
  <c r="K77" i="50"/>
  <c r="C77" i="50"/>
  <c r="S73" i="50"/>
  <c r="K73" i="50"/>
  <c r="C73" i="50"/>
  <c r="S69" i="50"/>
  <c r="K69" i="50"/>
  <c r="C69" i="50"/>
  <c r="S67" i="50"/>
  <c r="K67" i="50"/>
  <c r="C67" i="50"/>
  <c r="V78" i="50"/>
  <c r="N78" i="50"/>
  <c r="F78" i="50"/>
  <c r="V76" i="50"/>
  <c r="N76" i="50"/>
  <c r="F76" i="50"/>
  <c r="V74" i="50"/>
  <c r="N74" i="50"/>
  <c r="F74" i="50"/>
  <c r="R73" i="50"/>
  <c r="J73" i="50"/>
  <c r="V72" i="50"/>
  <c r="N72" i="50"/>
  <c r="F72" i="50"/>
  <c r="V70" i="50"/>
  <c r="N70" i="50"/>
  <c r="F70" i="50"/>
  <c r="R69" i="50"/>
  <c r="J69" i="50"/>
  <c r="V68" i="50"/>
  <c r="N68" i="50"/>
  <c r="F68" i="50"/>
  <c r="R67" i="50"/>
  <c r="J67" i="50"/>
  <c r="B70" i="50"/>
  <c r="Q79" i="50"/>
  <c r="I79" i="50"/>
  <c r="Q77" i="50"/>
  <c r="I77" i="50"/>
  <c r="Q73" i="50"/>
  <c r="I73" i="50"/>
  <c r="M70" i="50"/>
  <c r="E70" i="50"/>
  <c r="Q69" i="50"/>
  <c r="I69" i="50"/>
  <c r="U68" i="50"/>
  <c r="M68" i="50"/>
  <c r="E68" i="50"/>
  <c r="Q67" i="50"/>
  <c r="I67" i="50"/>
  <c r="B77" i="50"/>
  <c r="P79" i="50"/>
  <c r="H79" i="50"/>
  <c r="T78" i="50"/>
  <c r="L78" i="50"/>
  <c r="P77" i="50"/>
  <c r="H77" i="50"/>
  <c r="T74" i="50"/>
  <c r="L74" i="50"/>
  <c r="D74" i="50"/>
  <c r="P73" i="50"/>
  <c r="H73" i="50"/>
  <c r="T72" i="50"/>
  <c r="L72" i="50"/>
  <c r="D72" i="50"/>
  <c r="T70" i="50"/>
  <c r="L70" i="50"/>
  <c r="D70" i="50"/>
  <c r="P69" i="50"/>
  <c r="H69" i="50"/>
  <c r="T68" i="50"/>
  <c r="L68" i="50"/>
  <c r="D68" i="50"/>
  <c r="P67" i="50"/>
  <c r="H67" i="50"/>
  <c r="B69" i="50"/>
  <c r="D78" i="50"/>
  <c r="B76" i="50"/>
  <c r="B68" i="50"/>
  <c r="O79" i="50"/>
  <c r="G79" i="50"/>
  <c r="S78" i="50"/>
  <c r="K78" i="50"/>
  <c r="C78" i="50"/>
  <c r="O77" i="50"/>
  <c r="G77" i="50"/>
  <c r="S76" i="50"/>
  <c r="K76" i="50"/>
  <c r="C76" i="50"/>
  <c r="S74" i="50"/>
  <c r="K74" i="50"/>
  <c r="C74" i="50"/>
  <c r="O73" i="50"/>
  <c r="G73" i="50"/>
  <c r="S72" i="50"/>
  <c r="K72" i="50"/>
  <c r="C72" i="50"/>
  <c r="S70" i="50"/>
  <c r="K70" i="50"/>
  <c r="C70" i="50"/>
  <c r="O69" i="50"/>
  <c r="G69" i="50"/>
  <c r="S68" i="50"/>
  <c r="K68" i="50"/>
  <c r="C68" i="50"/>
  <c r="O67" i="50"/>
  <c r="G67" i="50"/>
  <c r="R78" i="50"/>
  <c r="R74" i="50"/>
  <c r="J74" i="50"/>
  <c r="V73" i="50"/>
  <c r="N73" i="50"/>
  <c r="F73" i="50"/>
  <c r="R72" i="50"/>
  <c r="J72" i="50"/>
  <c r="R70" i="50"/>
  <c r="J70" i="50"/>
  <c r="V69" i="50"/>
  <c r="N69" i="50"/>
  <c r="F69" i="50"/>
  <c r="R68" i="50"/>
  <c r="J68" i="50"/>
  <c r="V67" i="50"/>
  <c r="N67" i="50"/>
  <c r="F67" i="50"/>
  <c r="J78" i="50"/>
  <c r="B74" i="50"/>
  <c r="U79" i="50"/>
  <c r="M79" i="50"/>
  <c r="E79" i="50"/>
  <c r="Q78" i="50"/>
  <c r="I78" i="50"/>
  <c r="U77" i="50"/>
  <c r="M77" i="50"/>
  <c r="E77" i="50"/>
  <c r="Q76" i="50"/>
  <c r="I76" i="50"/>
  <c r="Q74" i="50"/>
  <c r="I74" i="50"/>
  <c r="U73" i="50"/>
  <c r="M73" i="50"/>
  <c r="E73" i="50"/>
  <c r="Q72" i="50"/>
  <c r="I72" i="50"/>
  <c r="Q70" i="50"/>
  <c r="I70" i="50"/>
  <c r="U69" i="50"/>
  <c r="M69" i="50"/>
  <c r="E69" i="50"/>
  <c r="Q68" i="50"/>
  <c r="I68" i="50"/>
  <c r="U67" i="50"/>
  <c r="M67" i="50"/>
  <c r="E67" i="50"/>
  <c r="B73" i="50"/>
  <c r="T79" i="50"/>
  <c r="L79" i="50"/>
  <c r="D79" i="50"/>
  <c r="P78" i="50"/>
  <c r="H78" i="50"/>
  <c r="T77" i="50"/>
  <c r="L77" i="50"/>
  <c r="D77" i="50"/>
  <c r="T75" i="50"/>
  <c r="L75" i="50"/>
  <c r="D75" i="50"/>
  <c r="P74" i="50"/>
  <c r="H74" i="50"/>
  <c r="T73" i="50"/>
  <c r="L73" i="50"/>
  <c r="D73" i="50"/>
  <c r="P72" i="50"/>
  <c r="H72" i="50"/>
  <c r="P70" i="50"/>
  <c r="H70" i="50"/>
  <c r="T69" i="50"/>
  <c r="L69" i="50"/>
  <c r="D69" i="50"/>
  <c r="P68" i="50"/>
  <c r="H68" i="50"/>
  <c r="T67" i="50"/>
  <c r="L67" i="50"/>
  <c r="D67" i="50"/>
  <c r="O78" i="50"/>
  <c r="G78" i="50"/>
  <c r="O76" i="50"/>
  <c r="G76" i="50"/>
  <c r="O74" i="50"/>
  <c r="G74" i="50"/>
  <c r="O72" i="50"/>
  <c r="G72" i="50"/>
  <c r="O70" i="50"/>
  <c r="G70" i="50"/>
  <c r="O68" i="50"/>
  <c r="G68" i="50"/>
  <c r="S75" i="50"/>
  <c r="K75" i="50"/>
  <c r="C75" i="50"/>
  <c r="R75" i="50"/>
  <c r="J75" i="50"/>
  <c r="Q75" i="50"/>
  <c r="I75" i="50"/>
  <c r="P75" i="50"/>
  <c r="H75" i="50"/>
  <c r="B75" i="50"/>
  <c r="O75" i="50"/>
  <c r="G75" i="50"/>
  <c r="N75" i="50"/>
  <c r="F75" i="50"/>
  <c r="V75" i="50"/>
  <c r="M75" i="50"/>
  <c r="E75" i="50"/>
  <c r="U75" i="50"/>
  <c r="N108" i="50"/>
  <c r="I108" i="50"/>
  <c r="R108" i="50"/>
  <c r="J108" i="50"/>
  <c r="Q108" i="50"/>
  <c r="T108" i="50"/>
  <c r="D108" i="50"/>
  <c r="D81" i="50" s="1"/>
  <c r="P108" i="50"/>
  <c r="H108" i="50"/>
  <c r="K108" i="50"/>
  <c r="C108" i="50"/>
  <c r="O108" i="50"/>
  <c r="O81" i="50" s="1"/>
  <c r="G108" i="50"/>
  <c r="V108" i="50"/>
  <c r="W108" i="50" s="1"/>
  <c r="F108" i="50"/>
  <c r="L108" i="50"/>
  <c r="S108" i="50"/>
  <c r="U108" i="50"/>
  <c r="M108" i="50"/>
  <c r="M81" i="50" s="1"/>
  <c r="E108" i="50"/>
  <c r="B108" i="50"/>
  <c r="B81" i="50" s="1"/>
  <c r="P56" i="49"/>
  <c r="R51" i="48"/>
  <c r="J51" i="48"/>
  <c r="P53" i="49"/>
  <c r="P45" i="49" s="1"/>
  <c r="Q62" i="49"/>
  <c r="I55" i="49"/>
  <c r="I47" i="49" s="1"/>
  <c r="H53" i="49"/>
  <c r="T54" i="49"/>
  <c r="T46" i="49" s="1"/>
  <c r="I62" i="49"/>
  <c r="B51" i="48"/>
  <c r="L54" i="49"/>
  <c r="L46" i="49" s="1"/>
  <c r="D9" i="49"/>
  <c r="B28" i="49"/>
  <c r="D54" i="49"/>
  <c r="D46" i="49" s="1"/>
  <c r="R61" i="49"/>
  <c r="R49" i="49" s="1"/>
  <c r="Q51" i="48"/>
  <c r="P51" i="48"/>
  <c r="H51" i="48"/>
  <c r="E8" i="49"/>
  <c r="C53" i="49"/>
  <c r="C45" i="49" s="1"/>
  <c r="O53" i="49"/>
  <c r="O45" i="49" s="1"/>
  <c r="G53" i="49"/>
  <c r="G45" i="49" s="1"/>
  <c r="S54" i="49"/>
  <c r="S46" i="49" s="1"/>
  <c r="K54" i="49"/>
  <c r="K46" i="49" s="1"/>
  <c r="C54" i="49"/>
  <c r="C46" i="49" s="1"/>
  <c r="P55" i="49"/>
  <c r="P47" i="49" s="1"/>
  <c r="H55" i="49"/>
  <c r="H47" i="49" s="1"/>
  <c r="U56" i="49"/>
  <c r="U48" i="49" s="1"/>
  <c r="M56" i="49"/>
  <c r="M48" i="49" s="1"/>
  <c r="E56" i="49"/>
  <c r="E48" i="49" s="1"/>
  <c r="M61" i="49"/>
  <c r="M49" i="49" s="1"/>
  <c r="E61" i="49"/>
  <c r="E49" i="49" s="1"/>
  <c r="R62" i="49"/>
  <c r="J62" i="49"/>
  <c r="V61" i="49"/>
  <c r="V49" i="49" s="1"/>
  <c r="Q55" i="49"/>
  <c r="Q47" i="49" s="1"/>
  <c r="F56" i="49"/>
  <c r="F48" i="49" s="1"/>
  <c r="O51" i="48"/>
  <c r="G51" i="48"/>
  <c r="B7" i="49"/>
  <c r="E9" i="49"/>
  <c r="V53" i="49"/>
  <c r="V45" i="49" s="1"/>
  <c r="N53" i="49"/>
  <c r="N45" i="49" s="1"/>
  <c r="F53" i="49"/>
  <c r="F45" i="49" s="1"/>
  <c r="R54" i="49"/>
  <c r="R46" i="49" s="1"/>
  <c r="J54" i="49"/>
  <c r="J46" i="49" s="1"/>
  <c r="B55" i="49"/>
  <c r="B47" i="49" s="1"/>
  <c r="O55" i="49"/>
  <c r="O47" i="49" s="1"/>
  <c r="G55" i="49"/>
  <c r="T56" i="49"/>
  <c r="T48" i="49" s="1"/>
  <c r="L56" i="49"/>
  <c r="L48" i="49" s="1"/>
  <c r="D56" i="49"/>
  <c r="D48" i="49" s="1"/>
  <c r="L61" i="49"/>
  <c r="L49" i="49" s="1"/>
  <c r="D61" i="49"/>
  <c r="D49" i="49" s="1"/>
  <c r="F51" i="48"/>
  <c r="C7" i="49"/>
  <c r="E10" i="49"/>
  <c r="U53" i="49"/>
  <c r="U45" i="49" s="1"/>
  <c r="M53" i="49"/>
  <c r="M45" i="49" s="1"/>
  <c r="E53" i="49"/>
  <c r="E45" i="49" s="1"/>
  <c r="Q54" i="49"/>
  <c r="I54" i="49"/>
  <c r="V55" i="49"/>
  <c r="V47" i="49" s="1"/>
  <c r="N55" i="49"/>
  <c r="N47" i="49" s="1"/>
  <c r="F55" i="49"/>
  <c r="F47" i="49" s="1"/>
  <c r="S56" i="49"/>
  <c r="S48" i="49" s="1"/>
  <c r="K56" i="49"/>
  <c r="K48" i="49" s="1"/>
  <c r="C56" i="49"/>
  <c r="C48" i="49" s="1"/>
  <c r="K61" i="49"/>
  <c r="K49" i="49" s="1"/>
  <c r="C61" i="49"/>
  <c r="C49" i="49" s="1"/>
  <c r="P62" i="49"/>
  <c r="H62" i="49"/>
  <c r="AB103" i="50"/>
  <c r="AC103" i="50" s="1"/>
  <c r="AD103" i="50" s="1"/>
  <c r="AE103" i="50" s="1"/>
  <c r="AF103" i="50" s="1"/>
  <c r="AG103" i="50" s="1"/>
  <c r="AH103" i="50" s="1"/>
  <c r="AI103" i="50" s="1"/>
  <c r="AJ103" i="50" s="1"/>
  <c r="AK103" i="50" s="1"/>
  <c r="AL103" i="50" s="1"/>
  <c r="AM103" i="50" s="1"/>
  <c r="AN103" i="50" s="1"/>
  <c r="AO103" i="50" s="1"/>
  <c r="AP103" i="50" s="1"/>
  <c r="AQ103" i="50" s="1"/>
  <c r="AR103" i="50" s="1"/>
  <c r="V56" i="49"/>
  <c r="V48" i="49" s="1"/>
  <c r="V51" i="48"/>
  <c r="U51" i="48"/>
  <c r="M51" i="48"/>
  <c r="E51" i="48"/>
  <c r="C8" i="49"/>
  <c r="F7" i="49"/>
  <c r="T53" i="49"/>
  <c r="T45" i="49" s="1"/>
  <c r="L53" i="49"/>
  <c r="L45" i="49" s="1"/>
  <c r="D53" i="49"/>
  <c r="P54" i="49"/>
  <c r="P46" i="49" s="1"/>
  <c r="H54" i="49"/>
  <c r="H46" i="49" s="1"/>
  <c r="U55" i="49"/>
  <c r="U47" i="49" s="1"/>
  <c r="M55" i="49"/>
  <c r="M47" i="49" s="1"/>
  <c r="E55" i="49"/>
  <c r="E47" i="49" s="1"/>
  <c r="R56" i="49"/>
  <c r="R48" i="49" s="1"/>
  <c r="J56" i="49"/>
  <c r="J48" i="49" s="1"/>
  <c r="J61" i="49"/>
  <c r="J49" i="49" s="1"/>
  <c r="B62" i="49"/>
  <c r="O62" i="49"/>
  <c r="G62" i="49"/>
  <c r="N51" i="48"/>
  <c r="T51" i="48"/>
  <c r="L51" i="48"/>
  <c r="D51" i="48"/>
  <c r="D7" i="49"/>
  <c r="F8" i="49"/>
  <c r="S53" i="49"/>
  <c r="S45" i="49" s="1"/>
  <c r="K53" i="49"/>
  <c r="K45" i="49" s="1"/>
  <c r="B54" i="49"/>
  <c r="B46" i="49" s="1"/>
  <c r="O54" i="49"/>
  <c r="O46" i="49" s="1"/>
  <c r="G54" i="49"/>
  <c r="G46" i="49" s="1"/>
  <c r="T55" i="49"/>
  <c r="T47" i="49" s="1"/>
  <c r="L55" i="49"/>
  <c r="L47" i="49" s="1"/>
  <c r="D55" i="49"/>
  <c r="D47" i="49" s="1"/>
  <c r="Q56" i="49"/>
  <c r="Q48" i="49" s="1"/>
  <c r="I56" i="49"/>
  <c r="I48" i="49" s="1"/>
  <c r="I61" i="49"/>
  <c r="I49" i="49" s="1"/>
  <c r="V62" i="49"/>
  <c r="U61" i="49"/>
  <c r="U49" i="49" s="1"/>
  <c r="B67" i="50"/>
  <c r="I51" i="48"/>
  <c r="N56" i="49"/>
  <c r="N48" i="49" s="1"/>
  <c r="S51" i="48"/>
  <c r="K51" i="48"/>
  <c r="C51" i="48"/>
  <c r="D8" i="49"/>
  <c r="F9" i="49"/>
  <c r="R53" i="49"/>
  <c r="R45" i="49" s="1"/>
  <c r="J53" i="49"/>
  <c r="J45" i="49" s="1"/>
  <c r="V54" i="49"/>
  <c r="V46" i="49" s="1"/>
  <c r="N54" i="49"/>
  <c r="N46" i="49" s="1"/>
  <c r="F54" i="49"/>
  <c r="F46" i="49" s="1"/>
  <c r="S55" i="49"/>
  <c r="S47" i="49" s="1"/>
  <c r="K55" i="49"/>
  <c r="K47" i="49" s="1"/>
  <c r="C55" i="49"/>
  <c r="C47" i="49" s="1"/>
  <c r="H56" i="49"/>
  <c r="H48" i="49" s="1"/>
  <c r="F10" i="49"/>
  <c r="U54" i="49"/>
  <c r="M54" i="49"/>
  <c r="M46" i="49" s="1"/>
  <c r="E54" i="49"/>
  <c r="E46" i="49" s="1"/>
  <c r="R55" i="49"/>
  <c r="R47" i="49" s="1"/>
  <c r="J55" i="49"/>
  <c r="J47" i="49" s="1"/>
  <c r="B56" i="49"/>
  <c r="B48" i="49" s="1"/>
  <c r="O56" i="49"/>
  <c r="O48" i="49" s="1"/>
  <c r="G56" i="49"/>
  <c r="O61" i="49"/>
  <c r="O49" i="49" s="1"/>
  <c r="G61" i="49"/>
  <c r="G49" i="49" s="1"/>
  <c r="AF98" i="50"/>
  <c r="AG98" i="50" s="1"/>
  <c r="AH98" i="50"/>
  <c r="U46" i="49"/>
  <c r="P48" i="49"/>
  <c r="G48" i="49"/>
  <c r="G47" i="49"/>
  <c r="I46" i="49"/>
  <c r="Q46" i="49"/>
  <c r="D45" i="49"/>
  <c r="B30" i="49"/>
  <c r="H45" i="49"/>
  <c r="I45" i="49"/>
  <c r="Q45" i="49"/>
  <c r="B45" i="49"/>
  <c r="AI56" i="45" l="1"/>
  <c r="AI57" i="45" s="1"/>
  <c r="AJ43" i="45"/>
  <c r="AI45" i="45"/>
  <c r="AK51" i="45"/>
  <c r="AJ52" i="45"/>
  <c r="AM50" i="45"/>
  <c r="K51" i="50"/>
  <c r="C56" i="50"/>
  <c r="C12" i="50"/>
  <c r="C13" i="50" s="1"/>
  <c r="C8" i="50" s="1"/>
  <c r="C60" i="50"/>
  <c r="B61" i="50"/>
  <c r="C55" i="50"/>
  <c r="C59" i="50"/>
  <c r="B58" i="50"/>
  <c r="C61" i="50"/>
  <c r="C58" i="50"/>
  <c r="B56" i="50"/>
  <c r="C39" i="50"/>
  <c r="C57" i="50"/>
  <c r="B60" i="50"/>
  <c r="B57" i="50"/>
  <c r="B55" i="50"/>
  <c r="B59" i="50"/>
  <c r="C41" i="49"/>
  <c r="C50" i="50"/>
  <c r="B50" i="50"/>
  <c r="C49" i="50"/>
  <c r="W72" i="50"/>
  <c r="G43" i="50" s="1"/>
  <c r="B47" i="50"/>
  <c r="W78" i="50"/>
  <c r="G49" i="50" s="1"/>
  <c r="C41" i="50"/>
  <c r="C45" i="50"/>
  <c r="W75" i="50"/>
  <c r="G46" i="50" s="1"/>
  <c r="W68" i="50"/>
  <c r="G39" i="50" s="1"/>
  <c r="W77" i="50"/>
  <c r="G48" i="50" s="1"/>
  <c r="W69" i="50"/>
  <c r="G40" i="50" s="1"/>
  <c r="W76" i="50"/>
  <c r="G47" i="50" s="1"/>
  <c r="W71" i="50"/>
  <c r="G42" i="50" s="1"/>
  <c r="W79" i="50"/>
  <c r="G50" i="50" s="1"/>
  <c r="W73" i="50"/>
  <c r="G44" i="50" s="1"/>
  <c r="W67" i="50"/>
  <c r="G38" i="50" s="1"/>
  <c r="W70" i="50"/>
  <c r="G41" i="50" s="1"/>
  <c r="W74" i="50"/>
  <c r="G45" i="50" s="1"/>
  <c r="C48" i="50"/>
  <c r="C43" i="50"/>
  <c r="B48" i="50"/>
  <c r="C47" i="50"/>
  <c r="B43" i="50"/>
  <c r="B49" i="50"/>
  <c r="C42" i="50"/>
  <c r="B44" i="50"/>
  <c r="C38" i="50"/>
  <c r="C40" i="50"/>
  <c r="B45" i="50"/>
  <c r="B46" i="50"/>
  <c r="C44" i="50"/>
  <c r="C46" i="50"/>
  <c r="O107" i="50"/>
  <c r="D107" i="50"/>
  <c r="D110" i="50" s="1"/>
  <c r="M107" i="50"/>
  <c r="E107" i="50"/>
  <c r="E81" i="50"/>
  <c r="J107" i="50"/>
  <c r="J110" i="50" s="1"/>
  <c r="J81" i="50"/>
  <c r="T107" i="50"/>
  <c r="T110" i="50" s="1"/>
  <c r="T81" i="50"/>
  <c r="C107" i="50"/>
  <c r="C110" i="50" s="1"/>
  <c r="C81" i="50"/>
  <c r="R107" i="50"/>
  <c r="R81" i="50"/>
  <c r="U107" i="50"/>
  <c r="U81" i="50"/>
  <c r="K107" i="50"/>
  <c r="K110" i="50" s="1"/>
  <c r="K81" i="50"/>
  <c r="I107" i="50"/>
  <c r="I110" i="50" s="1"/>
  <c r="I81" i="50"/>
  <c r="G107" i="50"/>
  <c r="G110" i="50" s="1"/>
  <c r="G81" i="50"/>
  <c r="Q107" i="50"/>
  <c r="Q81" i="50"/>
  <c r="S107" i="50"/>
  <c r="S81" i="50"/>
  <c r="H107" i="50"/>
  <c r="H110" i="50" s="1"/>
  <c r="H81" i="50"/>
  <c r="N107" i="50"/>
  <c r="N110" i="50" s="1"/>
  <c r="N81" i="50"/>
  <c r="V107" i="50"/>
  <c r="V81" i="50"/>
  <c r="L107" i="50"/>
  <c r="L110" i="50" s="1"/>
  <c r="L81" i="50"/>
  <c r="P107" i="50"/>
  <c r="P81" i="50"/>
  <c r="F107" i="50"/>
  <c r="F110" i="50" s="1"/>
  <c r="F81" i="50"/>
  <c r="B42" i="50"/>
  <c r="B38" i="50"/>
  <c r="B107" i="50"/>
  <c r="B110" i="50" s="1"/>
  <c r="B41" i="50"/>
  <c r="AB102" i="50"/>
  <c r="AC102" i="50" s="1"/>
  <c r="AD102" i="50" s="1"/>
  <c r="AE102" i="50" s="1"/>
  <c r="AF102" i="50" s="1"/>
  <c r="AG102" i="50" s="1"/>
  <c r="AH102" i="50" s="1"/>
  <c r="AI102" i="50" s="1"/>
  <c r="AJ102" i="50" s="1"/>
  <c r="AK102" i="50" s="1"/>
  <c r="AL102" i="50" s="1"/>
  <c r="AM102" i="50" s="1"/>
  <c r="AN102" i="50" s="1"/>
  <c r="AO102" i="50" s="1"/>
  <c r="AP102" i="50" s="1"/>
  <c r="AQ102" i="50" s="1"/>
  <c r="AR102" i="50" s="1"/>
  <c r="B40" i="50"/>
  <c r="B41" i="49"/>
  <c r="D41" i="49" s="1"/>
  <c r="E41" i="49" s="1"/>
  <c r="B39" i="50"/>
  <c r="AB94" i="50"/>
  <c r="AC94" i="50" s="1"/>
  <c r="AD94" i="50" s="1"/>
  <c r="AE94" i="50" s="1"/>
  <c r="AF94" i="50" s="1"/>
  <c r="AG94" i="50" s="1"/>
  <c r="AH94" i="50" s="1"/>
  <c r="AB95" i="50"/>
  <c r="AC95" i="50" s="1"/>
  <c r="AD95" i="50" s="1"/>
  <c r="AE95" i="50" s="1"/>
  <c r="AF95" i="50" s="1"/>
  <c r="AG95" i="50" s="1"/>
  <c r="AH95" i="50" s="1"/>
  <c r="AI95" i="50" s="1"/>
  <c r="AJ95" i="50" s="1"/>
  <c r="AK95" i="50" s="1"/>
  <c r="AL95" i="50" s="1"/>
  <c r="AM95" i="50" s="1"/>
  <c r="AN95" i="50" s="1"/>
  <c r="AO95" i="50" s="1"/>
  <c r="AP95" i="50" s="1"/>
  <c r="AQ95" i="50" s="1"/>
  <c r="AR95" i="50" s="1"/>
  <c r="C40" i="49"/>
  <c r="B40" i="49"/>
  <c r="AK98" i="50"/>
  <c r="AI98" i="50"/>
  <c r="AJ98" i="50" s="1"/>
  <c r="B39" i="49"/>
  <c r="C39" i="49"/>
  <c r="C38" i="49"/>
  <c r="B38" i="49"/>
  <c r="C27" i="49"/>
  <c r="C30" i="49"/>
  <c r="C29" i="49"/>
  <c r="C13" i="49"/>
  <c r="C28" i="49"/>
  <c r="C37" i="49"/>
  <c r="B37" i="49"/>
  <c r="AL51" i="45" l="1"/>
  <c r="AK52" i="45"/>
  <c r="AK43" i="45"/>
  <c r="AJ56" i="45"/>
  <c r="AJ57" i="45" s="1"/>
  <c r="AJ45" i="45"/>
  <c r="AN50" i="45"/>
  <c r="D60" i="50"/>
  <c r="E60" i="50" s="1"/>
  <c r="F56" i="50"/>
  <c r="D56" i="50"/>
  <c r="E56" i="50" s="1"/>
  <c r="F60" i="50"/>
  <c r="D59" i="50"/>
  <c r="E59" i="50" s="1"/>
  <c r="F59" i="50"/>
  <c r="F61" i="50"/>
  <c r="D61" i="50"/>
  <c r="E61" i="50" s="1"/>
  <c r="D57" i="50"/>
  <c r="E57" i="50" s="1"/>
  <c r="F57" i="50"/>
  <c r="D49" i="50"/>
  <c r="E49" i="50" s="1"/>
  <c r="D58" i="50"/>
  <c r="E58" i="50" s="1"/>
  <c r="F58" i="50"/>
  <c r="D50" i="50"/>
  <c r="E50" i="50" s="1"/>
  <c r="F50" i="50"/>
  <c r="F55" i="50"/>
  <c r="D55" i="50"/>
  <c r="E55" i="50" s="1"/>
  <c r="V110" i="50"/>
  <c r="W110" i="50" s="1"/>
  <c r="W107" i="50"/>
  <c r="F47" i="50"/>
  <c r="D47" i="50"/>
  <c r="E47" i="50" s="1"/>
  <c r="F41" i="50"/>
  <c r="D48" i="50"/>
  <c r="E48" i="50" s="1"/>
  <c r="D45" i="50"/>
  <c r="E45" i="50" s="1"/>
  <c r="F48" i="50"/>
  <c r="W81" i="50"/>
  <c r="G52" i="50" s="1"/>
  <c r="F43" i="50"/>
  <c r="H111" i="50"/>
  <c r="H83" i="50" s="1"/>
  <c r="H82" i="50"/>
  <c r="F111" i="50"/>
  <c r="F83" i="50" s="1"/>
  <c r="F82" i="50"/>
  <c r="N111" i="50"/>
  <c r="N83" i="50" s="1"/>
  <c r="N82" i="50"/>
  <c r="G111" i="50"/>
  <c r="G83" i="50" s="1"/>
  <c r="G82" i="50"/>
  <c r="I111" i="50"/>
  <c r="I83" i="50" s="1"/>
  <c r="I82" i="50"/>
  <c r="D111" i="50"/>
  <c r="D83" i="50" s="1"/>
  <c r="D82" i="50"/>
  <c r="B111" i="50"/>
  <c r="B83" i="50" s="1"/>
  <c r="B82" i="50"/>
  <c r="K111" i="50"/>
  <c r="K83" i="50" s="1"/>
  <c r="K82" i="50"/>
  <c r="L111" i="50"/>
  <c r="L83" i="50" s="1"/>
  <c r="L82" i="50"/>
  <c r="T111" i="50"/>
  <c r="T83" i="50" s="1"/>
  <c r="T82" i="50"/>
  <c r="C111" i="50"/>
  <c r="C83" i="50" s="1"/>
  <c r="C82" i="50"/>
  <c r="J111" i="50"/>
  <c r="J83" i="50" s="1"/>
  <c r="J82" i="50"/>
  <c r="F42" i="50"/>
  <c r="D43" i="50"/>
  <c r="E43" i="50" s="1"/>
  <c r="F38" i="50"/>
  <c r="Q109" i="50"/>
  <c r="Q110" i="50"/>
  <c r="U109" i="50"/>
  <c r="U110" i="50"/>
  <c r="R109" i="50"/>
  <c r="R110" i="50"/>
  <c r="P109" i="50"/>
  <c r="P110" i="50"/>
  <c r="O109" i="50"/>
  <c r="O110" i="50"/>
  <c r="E109" i="50"/>
  <c r="E110" i="50"/>
  <c r="M80" i="50"/>
  <c r="M110" i="50"/>
  <c r="S109" i="50"/>
  <c r="S110" i="50"/>
  <c r="D40" i="50"/>
  <c r="E40" i="50" s="1"/>
  <c r="C52" i="50"/>
  <c r="F40" i="50"/>
  <c r="F49" i="50"/>
  <c r="F45" i="50"/>
  <c r="F44" i="50"/>
  <c r="D44" i="50"/>
  <c r="E44" i="50" s="1"/>
  <c r="D39" i="50"/>
  <c r="E39" i="50" s="1"/>
  <c r="F39" i="50"/>
  <c r="D38" i="50"/>
  <c r="E38" i="50" s="1"/>
  <c r="D42" i="50"/>
  <c r="E42" i="50" s="1"/>
  <c r="AI94" i="50"/>
  <c r="AJ94" i="50" s="1"/>
  <c r="AK94" i="50" s="1"/>
  <c r="B52" i="50"/>
  <c r="D41" i="50"/>
  <c r="E41" i="50" s="1"/>
  <c r="F46" i="50"/>
  <c r="D46" i="50"/>
  <c r="E46" i="50" s="1"/>
  <c r="O80" i="50"/>
  <c r="D109" i="50"/>
  <c r="D80" i="50"/>
  <c r="M109" i="50"/>
  <c r="C109" i="50"/>
  <c r="C80" i="50"/>
  <c r="Q80" i="50"/>
  <c r="U80" i="50"/>
  <c r="N109" i="50"/>
  <c r="N80" i="50"/>
  <c r="T109" i="50"/>
  <c r="T80" i="50"/>
  <c r="B109" i="50"/>
  <c r="B80" i="50"/>
  <c r="G80" i="50"/>
  <c r="P80" i="50"/>
  <c r="H109" i="50"/>
  <c r="H80" i="50"/>
  <c r="J109" i="50"/>
  <c r="J80" i="50"/>
  <c r="K109" i="50"/>
  <c r="K80" i="50"/>
  <c r="G109" i="50"/>
  <c r="I80" i="50"/>
  <c r="I109" i="50"/>
  <c r="F80" i="50"/>
  <c r="V109" i="50"/>
  <c r="W109" i="50" s="1"/>
  <c r="V80" i="50"/>
  <c r="F109" i="50"/>
  <c r="L109" i="50"/>
  <c r="L80" i="50"/>
  <c r="S80" i="50"/>
  <c r="R80" i="50"/>
  <c r="E80" i="50"/>
  <c r="F41" i="49"/>
  <c r="AN98" i="50"/>
  <c r="AL98" i="50"/>
  <c r="F38" i="49"/>
  <c r="AB58" i="49" s="1"/>
  <c r="AC58" i="49" s="1"/>
  <c r="AD58" i="49" s="1"/>
  <c r="AE58" i="49" s="1"/>
  <c r="AF58" i="49" s="1"/>
  <c r="AG58" i="49" s="1"/>
  <c r="AH58" i="49" s="1"/>
  <c r="AI58" i="49" s="1"/>
  <c r="AJ58" i="49" s="1"/>
  <c r="AK58" i="49" s="1"/>
  <c r="AL58" i="49" s="1"/>
  <c r="AM58" i="49" s="1"/>
  <c r="AN58" i="49" s="1"/>
  <c r="AO58" i="49" s="1"/>
  <c r="AP58" i="49" s="1"/>
  <c r="AQ58" i="49" s="1"/>
  <c r="AR58" i="49" s="1"/>
  <c r="D38" i="49"/>
  <c r="E38" i="49" s="1"/>
  <c r="D39" i="49"/>
  <c r="E39" i="49" s="1"/>
  <c r="D37" i="49"/>
  <c r="E37" i="49" s="1"/>
  <c r="F37" i="49"/>
  <c r="AB57" i="49" s="1"/>
  <c r="AE57" i="49" s="1"/>
  <c r="F39" i="49"/>
  <c r="AB63" i="49" s="1"/>
  <c r="AC63" i="49" s="1"/>
  <c r="AD63" i="49" s="1"/>
  <c r="AE63" i="49" s="1"/>
  <c r="AF63" i="49" s="1"/>
  <c r="AG63" i="49" s="1"/>
  <c r="AH63" i="49" s="1"/>
  <c r="AI63" i="49" s="1"/>
  <c r="AJ63" i="49" s="1"/>
  <c r="AK63" i="49" s="1"/>
  <c r="AL63" i="49" s="1"/>
  <c r="AM63" i="49" s="1"/>
  <c r="AN63" i="49" s="1"/>
  <c r="AO63" i="49" s="1"/>
  <c r="AP63" i="49" s="1"/>
  <c r="AQ63" i="49" s="1"/>
  <c r="AR63" i="49" s="1"/>
  <c r="D40" i="49"/>
  <c r="E40" i="49" s="1"/>
  <c r="F40" i="49"/>
  <c r="AK45" i="45" l="1"/>
  <c r="AK56" i="45"/>
  <c r="AK57" i="45" s="1"/>
  <c r="AL43" i="45"/>
  <c r="AO50" i="45"/>
  <c r="AM51" i="45"/>
  <c r="AL52" i="45"/>
  <c r="V111" i="50"/>
  <c r="V83" i="50" s="1"/>
  <c r="W83" i="50" s="1"/>
  <c r="G54" i="50" s="1"/>
  <c r="V82" i="50"/>
  <c r="W82" i="50" s="1"/>
  <c r="W80" i="50"/>
  <c r="G51" i="50" s="1"/>
  <c r="G53" i="50" s="1"/>
  <c r="S111" i="50"/>
  <c r="S83" i="50" s="1"/>
  <c r="S82" i="50"/>
  <c r="O111" i="50"/>
  <c r="O83" i="50" s="1"/>
  <c r="O82" i="50"/>
  <c r="Q111" i="50"/>
  <c r="Q83" i="50" s="1"/>
  <c r="Q82" i="50"/>
  <c r="M111" i="50"/>
  <c r="M83" i="50" s="1"/>
  <c r="M82" i="50"/>
  <c r="R111" i="50"/>
  <c r="R83" i="50" s="1"/>
  <c r="R82" i="50"/>
  <c r="F52" i="50"/>
  <c r="P111" i="50"/>
  <c r="P83" i="50" s="1"/>
  <c r="P82" i="50"/>
  <c r="E111" i="50"/>
  <c r="E83" i="50" s="1"/>
  <c r="B54" i="50" s="1"/>
  <c r="E82" i="50"/>
  <c r="B53" i="50" s="1"/>
  <c r="U111" i="50"/>
  <c r="U83" i="50" s="1"/>
  <c r="U82" i="50"/>
  <c r="AL94" i="50"/>
  <c r="B51" i="50"/>
  <c r="D52" i="50"/>
  <c r="E52" i="50" s="1"/>
  <c r="C51" i="50"/>
  <c r="AO98" i="50"/>
  <c r="AM98" i="50"/>
  <c r="AB54" i="49"/>
  <c r="AC54" i="49" s="1"/>
  <c r="AD54" i="49" s="1"/>
  <c r="AE54" i="49" s="1"/>
  <c r="AF54" i="49" s="1"/>
  <c r="AG54" i="49" s="1"/>
  <c r="AH54" i="49" s="1"/>
  <c r="AI54" i="49" s="1"/>
  <c r="AJ54" i="49" s="1"/>
  <c r="AK54" i="49" s="1"/>
  <c r="AL54" i="49" s="1"/>
  <c r="AM54" i="49" s="1"/>
  <c r="AN54" i="49" s="1"/>
  <c r="AO54" i="49" s="1"/>
  <c r="AP54" i="49" s="1"/>
  <c r="AQ54" i="49" s="1"/>
  <c r="AR54" i="49" s="1"/>
  <c r="AB61" i="49"/>
  <c r="AC61" i="49" s="1"/>
  <c r="AD57" i="49"/>
  <c r="AB53" i="49"/>
  <c r="AC57" i="49"/>
  <c r="AB62" i="49"/>
  <c r="AC62" i="49" s="1"/>
  <c r="AH57" i="49"/>
  <c r="AF57" i="49"/>
  <c r="AG57" i="49" s="1"/>
  <c r="AP50" i="45" l="1"/>
  <c r="AL45" i="45"/>
  <c r="AL56" i="45"/>
  <c r="AL57" i="45" s="1"/>
  <c r="AM43" i="45"/>
  <c r="AN51" i="45"/>
  <c r="AM52" i="45"/>
  <c r="W111" i="50"/>
  <c r="B31" i="50"/>
  <c r="B32" i="50" s="1"/>
  <c r="C53" i="50"/>
  <c r="F53" i="50" s="1"/>
  <c r="W84" i="50"/>
  <c r="G55" i="50" s="1"/>
  <c r="C54" i="50"/>
  <c r="D54" i="50" s="1"/>
  <c r="E54" i="50" s="1"/>
  <c r="AM94" i="50"/>
  <c r="AN94" i="50" s="1"/>
  <c r="AO94" i="50" s="1"/>
  <c r="F51" i="50"/>
  <c r="D51" i="50"/>
  <c r="E51" i="50" s="1"/>
  <c r="AP98" i="50"/>
  <c r="AQ98" i="50" s="1"/>
  <c r="AR98" i="50"/>
  <c r="AC53" i="49"/>
  <c r="AD53" i="49" s="1"/>
  <c r="AD62" i="49"/>
  <c r="AE62" i="49" s="1"/>
  <c r="AF62" i="49" s="1"/>
  <c r="AG62" i="49" s="1"/>
  <c r="AH62" i="49" s="1"/>
  <c r="AI62" i="49" s="1"/>
  <c r="AJ62" i="49" s="1"/>
  <c r="AK62" i="49" s="1"/>
  <c r="AL62" i="49" s="1"/>
  <c r="AM62" i="49" s="1"/>
  <c r="AN62" i="49" s="1"/>
  <c r="AO62" i="49" s="1"/>
  <c r="AP62" i="49" s="1"/>
  <c r="AQ62" i="49" s="1"/>
  <c r="AR62" i="49" s="1"/>
  <c r="AI57" i="49"/>
  <c r="AJ57" i="49" s="1"/>
  <c r="AK57" i="49"/>
  <c r="AD61" i="49"/>
  <c r="AM56" i="45" l="1"/>
  <c r="AM57" i="45" s="1"/>
  <c r="AN43" i="45"/>
  <c r="AM45" i="45"/>
  <c r="AQ50" i="45"/>
  <c r="AO51" i="45"/>
  <c r="AN52" i="45"/>
  <c r="C31" i="50"/>
  <c r="C32" i="50" s="1"/>
  <c r="D53" i="50"/>
  <c r="E53" i="50" s="1"/>
  <c r="F54" i="50"/>
  <c r="AP94" i="50"/>
  <c r="AQ94" i="50" s="1"/>
  <c r="AR94" i="50" s="1"/>
  <c r="AE61" i="49"/>
  <c r="AE53" i="49"/>
  <c r="AN57" i="49"/>
  <c r="AL57" i="49"/>
  <c r="AP51" i="45" l="1"/>
  <c r="AO52" i="45"/>
  <c r="AR50" i="45"/>
  <c r="AN56" i="45"/>
  <c r="AN57" i="45" s="1"/>
  <c r="AO43" i="45"/>
  <c r="AN45" i="45"/>
  <c r="AF53" i="49"/>
  <c r="AO57" i="49"/>
  <c r="AM57" i="49"/>
  <c r="AF61" i="49"/>
  <c r="AP43" i="45" l="1"/>
  <c r="AO45" i="45"/>
  <c r="AO56" i="45"/>
  <c r="AO57" i="45" s="1"/>
  <c r="AQ51" i="45"/>
  <c r="AP52" i="45"/>
  <c r="AG61" i="49"/>
  <c r="AP57" i="49"/>
  <c r="AQ57" i="49" s="1"/>
  <c r="AR57" i="49"/>
  <c r="AG53" i="49"/>
  <c r="AR51" i="45" l="1"/>
  <c r="AR52" i="45" s="1"/>
  <c r="AQ52" i="45"/>
  <c r="AP56" i="45"/>
  <c r="AP57" i="45" s="1"/>
  <c r="AP45" i="45"/>
  <c r="AQ43" i="45"/>
  <c r="AH53" i="49"/>
  <c r="AH61" i="49"/>
  <c r="AQ56" i="45" l="1"/>
  <c r="AQ57" i="45" s="1"/>
  <c r="AR43" i="45"/>
  <c r="AQ45" i="45"/>
  <c r="AI53" i="49"/>
  <c r="AI61" i="49"/>
  <c r="AR56" i="45" l="1"/>
  <c r="AR57" i="45" s="1"/>
  <c r="AR45" i="45"/>
  <c r="AJ61" i="49"/>
  <c r="AJ53" i="49"/>
  <c r="AK53" i="49" l="1"/>
  <c r="AK61" i="49"/>
  <c r="AL61" i="49" l="1"/>
  <c r="AL53" i="49"/>
  <c r="AM53" i="49" l="1"/>
  <c r="AM61" i="49"/>
  <c r="AN53" i="49" l="1"/>
  <c r="AN61" i="49"/>
  <c r="AO53" i="49" l="1"/>
  <c r="AO61" i="49"/>
  <c r="AP61" i="49" l="1"/>
  <c r="AP53" i="49"/>
  <c r="AQ53" i="49" l="1"/>
  <c r="AQ61" i="49"/>
  <c r="AR61" i="49" l="1"/>
  <c r="AR53" i="49"/>
  <c r="G48" i="36" l="1"/>
  <c r="F48" i="36"/>
  <c r="C48" i="36"/>
  <c r="B48" i="36"/>
  <c r="L47" i="36"/>
  <c r="K47" i="36"/>
  <c r="H47" i="36"/>
  <c r="D47" i="36"/>
  <c r="H46" i="36"/>
  <c r="D46" i="36"/>
  <c r="H45" i="36"/>
  <c r="D45" i="36"/>
  <c r="H44" i="36"/>
  <c r="D44" i="36"/>
  <c r="H43" i="36"/>
  <c r="D43" i="36"/>
  <c r="H42" i="36"/>
  <c r="D42" i="36"/>
  <c r="H41" i="36"/>
  <c r="D41" i="36"/>
  <c r="H40" i="36"/>
  <c r="D40" i="36"/>
  <c r="H39" i="36"/>
  <c r="D39" i="36"/>
  <c r="H38" i="36"/>
  <c r="D38" i="36"/>
  <c r="H37" i="36"/>
  <c r="D37" i="36"/>
  <c r="H36" i="36"/>
  <c r="D36" i="36"/>
  <c r="H35" i="36"/>
  <c r="D35" i="36"/>
  <c r="H34" i="36"/>
  <c r="D34" i="36"/>
  <c r="H33" i="36"/>
  <c r="D33" i="36"/>
  <c r="H32" i="36"/>
  <c r="D32" i="36"/>
  <c r="H31" i="36"/>
  <c r="D31" i="36"/>
  <c r="H30" i="36"/>
  <c r="D30" i="36"/>
  <c r="H29" i="36"/>
  <c r="D29" i="36"/>
  <c r="H28" i="36"/>
  <c r="D28" i="36"/>
  <c r="H27" i="36"/>
  <c r="D27" i="36"/>
  <c r="H26" i="36"/>
  <c r="D26" i="36"/>
  <c r="H25" i="36"/>
  <c r="D25" i="36"/>
  <c r="H24" i="36"/>
  <c r="D24" i="36"/>
  <c r="H23" i="36"/>
  <c r="D23" i="36"/>
  <c r="H22" i="36"/>
  <c r="D22" i="36"/>
  <c r="H21" i="36"/>
  <c r="D21" i="36"/>
  <c r="H20" i="36"/>
  <c r="D20" i="36"/>
  <c r="H19" i="36"/>
  <c r="D19" i="36"/>
  <c r="H18" i="36"/>
  <c r="D18" i="36"/>
  <c r="H17" i="36"/>
  <c r="D17" i="36"/>
  <c r="H16" i="36"/>
  <c r="D16" i="36"/>
  <c r="H15" i="36"/>
  <c r="D15" i="36"/>
  <c r="H14" i="36"/>
  <c r="D14" i="36"/>
  <c r="H13" i="36"/>
  <c r="D13" i="36"/>
  <c r="H12" i="36"/>
  <c r="D12" i="36"/>
  <c r="H11" i="36"/>
  <c r="D11" i="36"/>
  <c r="H10" i="36"/>
  <c r="D10" i="36"/>
  <c r="H9" i="36"/>
  <c r="D9" i="36"/>
  <c r="H8" i="36"/>
  <c r="D8" i="36"/>
  <c r="Q65" i="42"/>
  <c r="Q11" i="42"/>
  <c r="V138" i="1"/>
  <c r="U138" i="1"/>
  <c r="T138" i="1"/>
  <c r="S138" i="1"/>
  <c r="R138" i="1"/>
  <c r="Q138" i="1"/>
  <c r="P138" i="1"/>
  <c r="O138" i="1"/>
  <c r="N138" i="1"/>
  <c r="M138" i="1"/>
  <c r="L138" i="1"/>
  <c r="K138" i="1"/>
  <c r="J138" i="1"/>
  <c r="I138" i="1"/>
  <c r="H138" i="1"/>
  <c r="G138" i="1"/>
  <c r="F138" i="1"/>
  <c r="E138" i="1"/>
  <c r="D138" i="1"/>
  <c r="V134" i="1"/>
  <c r="U134" i="1"/>
  <c r="T134" i="1"/>
  <c r="S134" i="1"/>
  <c r="R134" i="1"/>
  <c r="Q134" i="1"/>
  <c r="P134" i="1"/>
  <c r="O134" i="1"/>
  <c r="N134" i="1"/>
  <c r="M134" i="1"/>
  <c r="L134" i="1"/>
  <c r="K134" i="1"/>
  <c r="J134" i="1"/>
  <c r="I134" i="1"/>
  <c r="H134" i="1"/>
  <c r="G134" i="1"/>
  <c r="F134" i="1"/>
  <c r="E134" i="1"/>
  <c r="D134" i="1"/>
  <c r="V129" i="1"/>
  <c r="U129" i="1"/>
  <c r="T129" i="1"/>
  <c r="S129" i="1"/>
  <c r="R129" i="1"/>
  <c r="Q129" i="1"/>
  <c r="P129" i="1"/>
  <c r="O129" i="1"/>
  <c r="N129" i="1"/>
  <c r="M129" i="1"/>
  <c r="L129" i="1"/>
  <c r="K129" i="1"/>
  <c r="J129" i="1"/>
  <c r="I129" i="1"/>
  <c r="H129" i="1"/>
  <c r="G129" i="1"/>
  <c r="F129" i="1"/>
  <c r="E129" i="1"/>
  <c r="D129" i="1"/>
  <c r="V125" i="1"/>
  <c r="U125" i="1"/>
  <c r="T125" i="1"/>
  <c r="S125" i="1"/>
  <c r="R125" i="1"/>
  <c r="Q125" i="1"/>
  <c r="P125" i="1"/>
  <c r="O125" i="1"/>
  <c r="N125" i="1"/>
  <c r="M125" i="1"/>
  <c r="L125" i="1"/>
  <c r="K125" i="1"/>
  <c r="J125" i="1"/>
  <c r="I125" i="1"/>
  <c r="H125" i="1"/>
  <c r="G125" i="1"/>
  <c r="F125" i="1"/>
  <c r="E125" i="1"/>
  <c r="D125" i="1"/>
  <c r="V120" i="1"/>
  <c r="U120" i="1"/>
  <c r="T120" i="1"/>
  <c r="S120" i="1"/>
  <c r="R120" i="1"/>
  <c r="Q120" i="1"/>
  <c r="P120" i="1"/>
  <c r="O120" i="1"/>
  <c r="N120" i="1"/>
  <c r="M120" i="1"/>
  <c r="L120" i="1"/>
  <c r="K120" i="1"/>
  <c r="J120" i="1"/>
  <c r="I120" i="1"/>
  <c r="H120" i="1"/>
  <c r="G120" i="1"/>
  <c r="F120" i="1"/>
  <c r="E120" i="1"/>
  <c r="D120" i="1"/>
  <c r="V116" i="1"/>
  <c r="U116" i="1"/>
  <c r="T116" i="1"/>
  <c r="S116" i="1"/>
  <c r="R116" i="1"/>
  <c r="Q116" i="1"/>
  <c r="P116" i="1"/>
  <c r="O116" i="1"/>
  <c r="N116" i="1"/>
  <c r="M116" i="1"/>
  <c r="L116" i="1"/>
  <c r="K116" i="1"/>
  <c r="J116" i="1"/>
  <c r="I116" i="1"/>
  <c r="H116" i="1"/>
  <c r="G116" i="1"/>
  <c r="F116" i="1"/>
  <c r="E116" i="1"/>
  <c r="D116" i="1"/>
  <c r="V111" i="1"/>
  <c r="U111" i="1"/>
  <c r="T111" i="1"/>
  <c r="S111" i="1"/>
  <c r="R111" i="1"/>
  <c r="Q111" i="1"/>
  <c r="P111" i="1"/>
  <c r="O111" i="1"/>
  <c r="N111" i="1"/>
  <c r="M111" i="1"/>
  <c r="L111" i="1"/>
  <c r="K111" i="1"/>
  <c r="J111" i="1"/>
  <c r="I111" i="1"/>
  <c r="H111" i="1"/>
  <c r="G111" i="1"/>
  <c r="F111" i="1"/>
  <c r="E111" i="1"/>
  <c r="D111" i="1"/>
  <c r="V107" i="1"/>
  <c r="U107" i="1"/>
  <c r="T107" i="1"/>
  <c r="S107" i="1"/>
  <c r="R107" i="1"/>
  <c r="Q107" i="1"/>
  <c r="P107" i="1"/>
  <c r="O107" i="1"/>
  <c r="N107" i="1"/>
  <c r="M107" i="1"/>
  <c r="L107" i="1"/>
  <c r="K107" i="1"/>
  <c r="J107" i="1"/>
  <c r="I107" i="1"/>
  <c r="H107" i="1"/>
  <c r="G107" i="1"/>
  <c r="F107" i="1"/>
  <c r="E107" i="1"/>
  <c r="D107" i="1"/>
  <c r="V102" i="1"/>
  <c r="U102" i="1"/>
  <c r="T102" i="1"/>
  <c r="S102" i="1"/>
  <c r="R102" i="1"/>
  <c r="Q102" i="1"/>
  <c r="P102" i="1"/>
  <c r="O102" i="1"/>
  <c r="N102" i="1"/>
  <c r="M102" i="1"/>
  <c r="L102" i="1"/>
  <c r="K102" i="1"/>
  <c r="J102" i="1"/>
  <c r="I102" i="1"/>
  <c r="H102" i="1"/>
  <c r="G102" i="1"/>
  <c r="F102" i="1"/>
  <c r="E102" i="1"/>
  <c r="D102" i="1"/>
  <c r="V98" i="1"/>
  <c r="U98" i="1"/>
  <c r="T98" i="1"/>
  <c r="S98" i="1"/>
  <c r="R98" i="1"/>
  <c r="Q98" i="1"/>
  <c r="P98" i="1"/>
  <c r="O98" i="1"/>
  <c r="N98" i="1"/>
  <c r="M98" i="1"/>
  <c r="L98" i="1"/>
  <c r="K98" i="1"/>
  <c r="J98" i="1"/>
  <c r="I98" i="1"/>
  <c r="H98" i="1"/>
  <c r="G98" i="1"/>
  <c r="F98" i="1"/>
  <c r="E98" i="1"/>
  <c r="D98" i="1"/>
  <c r="V93" i="1"/>
  <c r="U93" i="1"/>
  <c r="T93" i="1"/>
  <c r="S93" i="1"/>
  <c r="R93" i="1"/>
  <c r="Q93" i="1"/>
  <c r="P93" i="1"/>
  <c r="O93" i="1"/>
  <c r="N93" i="1"/>
  <c r="M93" i="1"/>
  <c r="L93" i="1"/>
  <c r="K93" i="1"/>
  <c r="J93" i="1"/>
  <c r="I93" i="1"/>
  <c r="H93" i="1"/>
  <c r="G93" i="1"/>
  <c r="F93" i="1"/>
  <c r="E93" i="1"/>
  <c r="D93" i="1"/>
  <c r="V89" i="1"/>
  <c r="U89" i="1"/>
  <c r="T89" i="1"/>
  <c r="S89" i="1"/>
  <c r="R89" i="1"/>
  <c r="Q89" i="1"/>
  <c r="P89" i="1"/>
  <c r="O89" i="1"/>
  <c r="N89" i="1"/>
  <c r="M89" i="1"/>
  <c r="L89" i="1"/>
  <c r="K89" i="1"/>
  <c r="J89" i="1"/>
  <c r="I89" i="1"/>
  <c r="H89" i="1"/>
  <c r="G89" i="1"/>
  <c r="F89" i="1"/>
  <c r="E89" i="1"/>
  <c r="D89" i="1"/>
  <c r="V84" i="1"/>
  <c r="U84" i="1"/>
  <c r="T84" i="1"/>
  <c r="S84" i="1"/>
  <c r="R84" i="1"/>
  <c r="Q84" i="1"/>
  <c r="P84" i="1"/>
  <c r="O84" i="1"/>
  <c r="N84" i="1"/>
  <c r="M84" i="1"/>
  <c r="L84" i="1"/>
  <c r="K84" i="1"/>
  <c r="J84" i="1"/>
  <c r="I84" i="1"/>
  <c r="H84" i="1"/>
  <c r="G84" i="1"/>
  <c r="F84" i="1"/>
  <c r="E84" i="1"/>
  <c r="D84" i="1"/>
  <c r="V80" i="1"/>
  <c r="U80" i="1"/>
  <c r="T80" i="1"/>
  <c r="S80" i="1"/>
  <c r="R80" i="1"/>
  <c r="Q80" i="1"/>
  <c r="P80" i="1"/>
  <c r="O80" i="1"/>
  <c r="N80" i="1"/>
  <c r="M80" i="1"/>
  <c r="L80" i="1"/>
  <c r="K80" i="1"/>
  <c r="J80" i="1"/>
  <c r="I80" i="1"/>
  <c r="H80" i="1"/>
  <c r="G80" i="1"/>
  <c r="F80" i="1"/>
  <c r="E80" i="1"/>
  <c r="D80" i="1"/>
  <c r="V75" i="1"/>
  <c r="U75" i="1"/>
  <c r="T75" i="1"/>
  <c r="S75" i="1"/>
  <c r="R75" i="1"/>
  <c r="Q75" i="1"/>
  <c r="P75" i="1"/>
  <c r="O75" i="1"/>
  <c r="N75" i="1"/>
  <c r="M75" i="1"/>
  <c r="L75" i="1"/>
  <c r="K75" i="1"/>
  <c r="J75" i="1"/>
  <c r="I75" i="1"/>
  <c r="H75" i="1"/>
  <c r="G75" i="1"/>
  <c r="F75" i="1"/>
  <c r="E75" i="1"/>
  <c r="D75" i="1"/>
  <c r="V71" i="1"/>
  <c r="U71" i="1"/>
  <c r="T71" i="1"/>
  <c r="S71" i="1"/>
  <c r="R71" i="1"/>
  <c r="Q71" i="1"/>
  <c r="P71" i="1"/>
  <c r="O71" i="1"/>
  <c r="N71" i="1"/>
  <c r="M71" i="1"/>
  <c r="L71" i="1"/>
  <c r="K71" i="1"/>
  <c r="J71" i="1"/>
  <c r="I71" i="1"/>
  <c r="H71" i="1"/>
  <c r="G71" i="1"/>
  <c r="F71" i="1"/>
  <c r="E71" i="1"/>
  <c r="D71" i="1"/>
  <c r="V66" i="1"/>
  <c r="U66" i="1"/>
  <c r="T66" i="1"/>
  <c r="S66" i="1"/>
  <c r="R66" i="1"/>
  <c r="Q66" i="1"/>
  <c r="P66" i="1"/>
  <c r="O66" i="1"/>
  <c r="N66" i="1"/>
  <c r="M66" i="1"/>
  <c r="L66" i="1"/>
  <c r="K66" i="1"/>
  <c r="J66" i="1"/>
  <c r="I66" i="1"/>
  <c r="H66" i="1"/>
  <c r="G66" i="1"/>
  <c r="F66" i="1"/>
  <c r="E66" i="1"/>
  <c r="D66" i="1"/>
  <c r="V62" i="1"/>
  <c r="U62" i="1"/>
  <c r="T62" i="1"/>
  <c r="S62" i="1"/>
  <c r="R62" i="1"/>
  <c r="Q62" i="1"/>
  <c r="P62" i="1"/>
  <c r="O62" i="1"/>
  <c r="N62" i="1"/>
  <c r="M62" i="1"/>
  <c r="L62" i="1"/>
  <c r="K62" i="1"/>
  <c r="J62" i="1"/>
  <c r="I62" i="1"/>
  <c r="H62" i="1"/>
  <c r="G62" i="1"/>
  <c r="F62" i="1"/>
  <c r="E62" i="1"/>
  <c r="D62" i="1"/>
  <c r="V57" i="1"/>
  <c r="U57" i="1"/>
  <c r="T57" i="1"/>
  <c r="S57" i="1"/>
  <c r="R57" i="1"/>
  <c r="Q57" i="1"/>
  <c r="P57" i="1"/>
  <c r="O57" i="1"/>
  <c r="N57" i="1"/>
  <c r="M57" i="1"/>
  <c r="L57" i="1"/>
  <c r="K57" i="1"/>
  <c r="J57" i="1"/>
  <c r="I57" i="1"/>
  <c r="H57" i="1"/>
  <c r="G57" i="1"/>
  <c r="F57" i="1"/>
  <c r="E57" i="1"/>
  <c r="D57" i="1"/>
  <c r="V53" i="1"/>
  <c r="U53" i="1"/>
  <c r="T53" i="1"/>
  <c r="S53" i="1"/>
  <c r="R53" i="1"/>
  <c r="Q53" i="1"/>
  <c r="P53" i="1"/>
  <c r="O53" i="1"/>
  <c r="N53" i="1"/>
  <c r="M53" i="1"/>
  <c r="L53" i="1"/>
  <c r="K53" i="1"/>
  <c r="J53" i="1"/>
  <c r="I53" i="1"/>
  <c r="H53" i="1"/>
  <c r="G53" i="1"/>
  <c r="F53" i="1"/>
  <c r="E53" i="1"/>
  <c r="D53" i="1"/>
  <c r="V46" i="1"/>
  <c r="U46" i="1"/>
  <c r="T46" i="1"/>
  <c r="S46" i="1"/>
  <c r="R46" i="1"/>
  <c r="Q46" i="1"/>
  <c r="P46" i="1"/>
  <c r="O46" i="1"/>
  <c r="N46" i="1"/>
  <c r="M46" i="1"/>
  <c r="L46" i="1"/>
  <c r="K46" i="1"/>
  <c r="J46" i="1"/>
  <c r="I46" i="1"/>
  <c r="H46" i="1"/>
  <c r="G46" i="1"/>
  <c r="F46" i="1"/>
  <c r="E46" i="1"/>
  <c r="D46" i="1"/>
  <c r="V42" i="1"/>
  <c r="U42" i="1"/>
  <c r="T42" i="1"/>
  <c r="S42" i="1"/>
  <c r="R42" i="1"/>
  <c r="Q42" i="1"/>
  <c r="P42" i="1"/>
  <c r="O42" i="1"/>
  <c r="N42" i="1"/>
  <c r="M42" i="1"/>
  <c r="L42" i="1"/>
  <c r="K42" i="1"/>
  <c r="J42" i="1"/>
  <c r="I42" i="1"/>
  <c r="H42" i="1"/>
  <c r="G42" i="1"/>
  <c r="F42" i="1"/>
  <c r="E42" i="1"/>
  <c r="D42" i="1"/>
  <c r="AL25" i="1"/>
  <c r="AK25" i="1"/>
  <c r="AJ25" i="1"/>
  <c r="AE25" i="1"/>
  <c r="AC25" i="1"/>
  <c r="AB25" i="1"/>
  <c r="AA25" i="1"/>
  <c r="Y25" i="1"/>
  <c r="X25" i="1"/>
  <c r="AL24" i="1"/>
  <c r="AK24" i="1"/>
  <c r="AJ24" i="1"/>
  <c r="AE24" i="1"/>
  <c r="AC24" i="1"/>
  <c r="AB24" i="1"/>
  <c r="AA24" i="1"/>
  <c r="Y24" i="1"/>
  <c r="X24" i="1"/>
  <c r="V24" i="1"/>
  <c r="U24" i="1"/>
  <c r="T24" i="1"/>
  <c r="Y23" i="1"/>
  <c r="X23" i="1"/>
  <c r="V23" i="1"/>
  <c r="U23" i="1"/>
  <c r="T23" i="1"/>
  <c r="AE22" i="1"/>
  <c r="AC22" i="1"/>
  <c r="AB22" i="1"/>
  <c r="AA22" i="1"/>
  <c r="Y22" i="1"/>
  <c r="X22" i="1"/>
  <c r="AE21" i="1"/>
  <c r="AC21" i="1"/>
  <c r="AB21" i="1"/>
  <c r="AA21" i="1"/>
  <c r="Y21" i="1"/>
  <c r="X21" i="1"/>
  <c r="V21" i="1"/>
  <c r="U21" i="1"/>
  <c r="T21" i="1"/>
  <c r="Y20" i="1"/>
  <c r="X20" i="1"/>
  <c r="V20" i="1"/>
  <c r="U20" i="1"/>
  <c r="T20" i="1"/>
  <c r="T184" i="41"/>
  <c r="S184" i="41"/>
  <c r="R184" i="41"/>
  <c r="Q184" i="41"/>
  <c r="P184" i="41"/>
  <c r="O184" i="41"/>
  <c r="N184" i="41"/>
  <c r="M184" i="41"/>
  <c r="L184" i="41"/>
  <c r="K184" i="41"/>
  <c r="J184" i="41"/>
  <c r="I184" i="41"/>
  <c r="H184" i="41"/>
  <c r="G184" i="41"/>
  <c r="F184" i="41"/>
  <c r="E184" i="41"/>
  <c r="D184" i="41"/>
  <c r="C184" i="41"/>
  <c r="B184" i="41"/>
  <c r="T182" i="41"/>
  <c r="S182" i="41"/>
  <c r="R182" i="41"/>
  <c r="Q182" i="41"/>
  <c r="P182" i="41"/>
  <c r="O182" i="41"/>
  <c r="N182" i="41"/>
  <c r="M182" i="41"/>
  <c r="L182" i="41"/>
  <c r="K182" i="41"/>
  <c r="J182" i="41"/>
  <c r="I182" i="41"/>
  <c r="H182" i="41"/>
  <c r="G182" i="41"/>
  <c r="F182" i="41"/>
  <c r="E182" i="41"/>
  <c r="D182" i="41"/>
  <c r="C182" i="41"/>
  <c r="B182" i="41"/>
  <c r="B181" i="41"/>
  <c r="T175" i="41"/>
  <c r="S175" i="41"/>
  <c r="R175" i="41"/>
  <c r="Q175" i="41"/>
  <c r="P175" i="41"/>
  <c r="O175" i="41"/>
  <c r="N175" i="41"/>
  <c r="M175" i="41"/>
  <c r="L175" i="41"/>
  <c r="K175" i="41"/>
  <c r="J175" i="41"/>
  <c r="I175" i="41"/>
  <c r="H175" i="41"/>
  <c r="G175" i="41"/>
  <c r="F175" i="41"/>
  <c r="E175" i="41"/>
  <c r="D175" i="41"/>
  <c r="C175" i="41"/>
  <c r="B175" i="41"/>
  <c r="T165" i="41"/>
  <c r="S165" i="41"/>
  <c r="R165" i="41"/>
  <c r="Q165" i="41"/>
  <c r="P165" i="41"/>
  <c r="O165" i="41"/>
  <c r="N165" i="41"/>
  <c r="M165" i="41"/>
  <c r="L165" i="41"/>
  <c r="K165" i="41"/>
  <c r="J165" i="41"/>
  <c r="I165" i="41"/>
  <c r="H165" i="41"/>
  <c r="G165" i="41"/>
  <c r="F165" i="41"/>
  <c r="E165" i="41"/>
  <c r="D165" i="41"/>
  <c r="C165" i="41"/>
  <c r="B165" i="41"/>
  <c r="T160" i="41"/>
  <c r="S160" i="41"/>
  <c r="R160" i="41"/>
  <c r="Q160" i="41"/>
  <c r="P160" i="41"/>
  <c r="O160" i="41"/>
  <c r="N160" i="41"/>
  <c r="M160" i="41"/>
  <c r="L160" i="41"/>
  <c r="K160" i="41"/>
  <c r="J160" i="41"/>
  <c r="I160" i="41"/>
  <c r="H160" i="41"/>
  <c r="G160" i="41"/>
  <c r="F160" i="41"/>
  <c r="E160" i="41"/>
  <c r="D160" i="41"/>
  <c r="C160" i="41"/>
  <c r="B160" i="41"/>
  <c r="T153" i="41"/>
  <c r="S153" i="41"/>
  <c r="R153" i="41"/>
  <c r="Q153" i="41"/>
  <c r="P153" i="41"/>
  <c r="O153" i="41"/>
  <c r="N153" i="41"/>
  <c r="M153" i="41"/>
  <c r="L153" i="41"/>
  <c r="K153" i="41"/>
  <c r="J153" i="41"/>
  <c r="I153" i="41"/>
  <c r="H153" i="41"/>
  <c r="G153" i="41"/>
  <c r="F153" i="41"/>
  <c r="E153" i="41"/>
  <c r="D153" i="41"/>
  <c r="C153" i="41"/>
  <c r="B153" i="41"/>
  <c r="T152" i="41"/>
  <c r="S152" i="41"/>
  <c r="R152" i="41"/>
  <c r="Q152" i="41"/>
  <c r="P152" i="41"/>
  <c r="O152" i="41"/>
  <c r="N152" i="41"/>
  <c r="M152" i="41"/>
  <c r="L152" i="41"/>
  <c r="K152" i="41"/>
  <c r="J152" i="41"/>
  <c r="I152" i="41"/>
  <c r="H152" i="41"/>
  <c r="G152" i="41"/>
  <c r="F152" i="41"/>
  <c r="E152" i="41"/>
  <c r="D152" i="41"/>
  <c r="C152" i="41"/>
  <c r="B152" i="41"/>
  <c r="T151" i="41"/>
  <c r="S151" i="41"/>
  <c r="R151" i="41"/>
  <c r="Q151" i="41"/>
  <c r="P151" i="41"/>
  <c r="O151" i="41"/>
  <c r="N151" i="41"/>
  <c r="M151" i="41"/>
  <c r="L151" i="41"/>
  <c r="K151" i="41"/>
  <c r="J151" i="41"/>
  <c r="I151" i="41"/>
  <c r="H151" i="41"/>
  <c r="G151" i="41"/>
  <c r="F151" i="41"/>
  <c r="E151" i="41"/>
  <c r="D151" i="41"/>
  <c r="C151" i="41"/>
  <c r="B151" i="41"/>
  <c r="T148" i="41"/>
  <c r="S148" i="41"/>
  <c r="R148" i="41"/>
  <c r="Q148" i="41"/>
  <c r="P148" i="41"/>
  <c r="O148" i="41"/>
  <c r="N148" i="41"/>
  <c r="M148" i="41"/>
  <c r="L148" i="41"/>
  <c r="K148" i="41"/>
  <c r="J148" i="41"/>
  <c r="I148" i="41"/>
  <c r="H148" i="41"/>
  <c r="G148" i="41"/>
  <c r="F148" i="41"/>
  <c r="E148" i="41"/>
  <c r="D148" i="41"/>
  <c r="C148" i="41"/>
  <c r="B148" i="41"/>
  <c r="T147" i="41"/>
  <c r="S147" i="41"/>
  <c r="R147" i="41"/>
  <c r="Q147" i="41"/>
  <c r="P147" i="41"/>
  <c r="O147" i="41"/>
  <c r="N147" i="41"/>
  <c r="M147" i="41"/>
  <c r="L147" i="41"/>
  <c r="K147" i="41"/>
  <c r="J147" i="41"/>
  <c r="I147" i="41"/>
  <c r="H147" i="41"/>
  <c r="G147" i="41"/>
  <c r="F147" i="41"/>
  <c r="E147" i="41"/>
  <c r="D147" i="41"/>
  <c r="C147" i="41"/>
  <c r="B147" i="41"/>
  <c r="T146" i="41"/>
  <c r="S146" i="41"/>
  <c r="R146" i="41"/>
  <c r="Q146" i="41"/>
  <c r="P146" i="41"/>
  <c r="O146" i="41"/>
  <c r="N146" i="41"/>
  <c r="M146" i="41"/>
  <c r="L146" i="41"/>
  <c r="K146" i="41"/>
  <c r="J146" i="41"/>
  <c r="I146" i="41"/>
  <c r="H146" i="41"/>
  <c r="G146" i="41"/>
  <c r="F146" i="41"/>
  <c r="E146" i="41"/>
  <c r="D146" i="41"/>
  <c r="C146" i="41"/>
  <c r="B146" i="41"/>
  <c r="T125" i="41"/>
  <c r="S125" i="41"/>
  <c r="R125" i="41"/>
  <c r="Q125" i="41"/>
  <c r="P125" i="41"/>
  <c r="O125" i="41"/>
  <c r="N125" i="41"/>
  <c r="M125" i="41"/>
  <c r="L125" i="41"/>
  <c r="K125" i="41"/>
  <c r="J125" i="41"/>
  <c r="I125" i="41"/>
  <c r="H125" i="41"/>
  <c r="G125" i="41"/>
  <c r="F125" i="41"/>
  <c r="E125" i="41"/>
  <c r="D125" i="41"/>
  <c r="C125" i="41"/>
  <c r="B125" i="41"/>
  <c r="T124" i="41"/>
  <c r="S124" i="41"/>
  <c r="R124" i="41"/>
  <c r="Q124" i="41"/>
  <c r="P124" i="41"/>
  <c r="O124" i="41"/>
  <c r="N124" i="41"/>
  <c r="M124" i="41"/>
  <c r="L124" i="41"/>
  <c r="K124" i="41"/>
  <c r="J124" i="41"/>
  <c r="I124" i="41"/>
  <c r="H124" i="41"/>
  <c r="G124" i="41"/>
  <c r="F124" i="41"/>
  <c r="E124" i="41"/>
  <c r="D124" i="41"/>
  <c r="C124" i="41"/>
  <c r="B124" i="41"/>
  <c r="F106" i="41"/>
  <c r="E106" i="41"/>
  <c r="D106" i="41"/>
  <c r="C106" i="41"/>
  <c r="B106" i="41"/>
  <c r="F105" i="41"/>
  <c r="E105" i="41"/>
  <c r="D105" i="41"/>
  <c r="C105" i="41"/>
  <c r="B105" i="41"/>
  <c r="F104" i="41"/>
  <c r="E104" i="41"/>
  <c r="D104" i="41"/>
  <c r="C104" i="41"/>
  <c r="B104" i="41"/>
  <c r="F103" i="41"/>
  <c r="E103" i="41"/>
  <c r="D103" i="41"/>
  <c r="C103" i="41"/>
  <c r="B103" i="41"/>
  <c r="C96" i="41"/>
  <c r="B96" i="41"/>
  <c r="C95" i="41"/>
  <c r="B95" i="41"/>
  <c r="C89" i="41"/>
  <c r="B89" i="41"/>
  <c r="C88" i="41"/>
  <c r="B88" i="41"/>
  <c r="I73" i="41"/>
  <c r="H73" i="41"/>
  <c r="E73" i="41"/>
  <c r="D73" i="41"/>
  <c r="C73" i="41"/>
  <c r="B73" i="41"/>
  <c r="I72" i="41"/>
  <c r="H72" i="41"/>
  <c r="E72" i="41"/>
  <c r="D72" i="41"/>
  <c r="C72" i="41"/>
  <c r="B72" i="41"/>
  <c r="I64" i="41"/>
  <c r="H64" i="41"/>
  <c r="G64" i="41"/>
  <c r="D64" i="41"/>
  <c r="C64" i="41"/>
  <c r="B64" i="41"/>
  <c r="I63" i="41"/>
  <c r="H63" i="41"/>
  <c r="G63" i="41"/>
  <c r="D63" i="41"/>
  <c r="C63" i="41"/>
  <c r="B63" i="41"/>
  <c r="D58" i="41"/>
  <c r="C58" i="41"/>
  <c r="B58" i="41"/>
  <c r="D57" i="41"/>
  <c r="C57" i="41"/>
  <c r="B57" i="41"/>
  <c r="D56" i="41"/>
  <c r="C56" i="41"/>
  <c r="D55" i="41"/>
  <c r="C55" i="41"/>
  <c r="B55" i="41"/>
  <c r="D54" i="41"/>
  <c r="C54" i="41"/>
  <c r="B54" i="41"/>
  <c r="D53" i="41"/>
  <c r="C53" i="41"/>
  <c r="B53" i="41"/>
  <c r="D52" i="41"/>
  <c r="C52" i="41"/>
  <c r="B52" i="41"/>
  <c r="D51" i="41"/>
  <c r="C51" i="41"/>
  <c r="B51" i="41"/>
  <c r="D50" i="41"/>
  <c r="C50" i="41"/>
  <c r="B50" i="41"/>
  <c r="D49" i="41"/>
  <c r="C49" i="41"/>
  <c r="B49" i="41"/>
  <c r="D48" i="41"/>
  <c r="C48" i="41"/>
  <c r="B48" i="41"/>
  <c r="D47" i="41"/>
  <c r="C47" i="41"/>
  <c r="B47" i="41"/>
  <c r="D42" i="41"/>
  <c r="C42" i="41"/>
  <c r="B42" i="41"/>
  <c r="D41" i="41"/>
  <c r="C41" i="41"/>
  <c r="B41" i="41"/>
  <c r="D40" i="41"/>
  <c r="C40" i="41"/>
  <c r="B40" i="41"/>
  <c r="D39" i="41"/>
  <c r="C39" i="41"/>
  <c r="B39" i="41"/>
  <c r="D38" i="41"/>
  <c r="C38" i="41"/>
  <c r="B38" i="41"/>
  <c r="D37" i="41"/>
  <c r="C37" i="41"/>
  <c r="B37" i="41"/>
  <c r="D36" i="41"/>
  <c r="C36" i="41"/>
  <c r="B36" i="41"/>
  <c r="D35" i="41"/>
  <c r="C35" i="41"/>
  <c r="B35" i="41"/>
  <c r="D34" i="41"/>
  <c r="C34" i="41"/>
  <c r="B34" i="41"/>
  <c r="D33" i="41"/>
  <c r="C33" i="41"/>
  <c r="B33" i="41"/>
  <c r="D32" i="41"/>
  <c r="C32" i="41"/>
  <c r="B32" i="41"/>
  <c r="D31" i="41"/>
  <c r="C31" i="41"/>
  <c r="B31" i="41"/>
  <c r="D27" i="41"/>
  <c r="C27" i="41"/>
  <c r="D26" i="41"/>
  <c r="C26" i="41"/>
  <c r="B26" i="41"/>
  <c r="D25" i="41"/>
  <c r="D24" i="41"/>
  <c r="D23" i="41"/>
  <c r="D22" i="41"/>
  <c r="D21" i="41"/>
  <c r="D20" i="41"/>
  <c r="D19" i="41"/>
  <c r="D18" i="41"/>
  <c r="D17" i="41"/>
  <c r="D16" i="41"/>
  <c r="C13" i="41"/>
  <c r="B13" i="41"/>
  <c r="C10" i="41"/>
  <c r="B10" i="41"/>
  <c r="C9" i="41"/>
  <c r="B9" i="41"/>
  <c r="C8" i="41"/>
  <c r="B8" i="41"/>
  <c r="T31" i="44"/>
  <c r="S31" i="44"/>
  <c r="R31" i="44"/>
  <c r="Q31" i="44"/>
  <c r="P31" i="44"/>
  <c r="O31" i="44"/>
  <c r="N31" i="44"/>
  <c r="M31" i="44"/>
  <c r="L31" i="44"/>
  <c r="K31" i="44"/>
  <c r="J31" i="44"/>
  <c r="I31" i="44"/>
  <c r="H31" i="44"/>
  <c r="G31" i="44"/>
  <c r="F31" i="44"/>
  <c r="E31" i="44"/>
  <c r="D31" i="44"/>
  <c r="C31" i="44"/>
  <c r="B31" i="44"/>
  <c r="T30" i="44"/>
  <c r="S30" i="44"/>
  <c r="R30" i="44"/>
  <c r="Q30" i="44"/>
  <c r="P30" i="44"/>
  <c r="O30" i="44"/>
  <c r="N30" i="44"/>
  <c r="M30" i="44"/>
  <c r="L30" i="44"/>
  <c r="K30" i="44"/>
  <c r="J30" i="44"/>
  <c r="I30" i="44"/>
  <c r="H30" i="44"/>
  <c r="G30" i="44"/>
  <c r="F30" i="44"/>
  <c r="E30" i="44"/>
  <c r="D30" i="44"/>
  <c r="C30" i="44"/>
  <c r="B30" i="44"/>
  <c r="T29" i="44"/>
  <c r="S29" i="44"/>
  <c r="R29" i="44"/>
  <c r="Q29" i="44"/>
  <c r="P29" i="44"/>
  <c r="O29" i="44"/>
  <c r="N29" i="44"/>
  <c r="M29" i="44"/>
  <c r="L29" i="44"/>
  <c r="K29" i="44"/>
  <c r="J29" i="44"/>
  <c r="I29" i="44"/>
  <c r="H29" i="44"/>
  <c r="G29" i="44"/>
  <c r="F29" i="44"/>
  <c r="E29" i="44"/>
  <c r="D29" i="44"/>
  <c r="C29" i="44"/>
  <c r="B29" i="44"/>
  <c r="T28" i="44"/>
  <c r="S28" i="44"/>
  <c r="R28" i="44"/>
  <c r="Q28" i="44"/>
  <c r="P28" i="44"/>
  <c r="O28" i="44"/>
  <c r="N28" i="44"/>
  <c r="M28" i="44"/>
  <c r="L28" i="44"/>
  <c r="K28" i="44"/>
  <c r="J28" i="44"/>
  <c r="I28" i="44"/>
  <c r="H28" i="44"/>
  <c r="G28" i="44"/>
  <c r="F28" i="44"/>
  <c r="E28" i="44"/>
  <c r="D28" i="44"/>
  <c r="C28" i="44"/>
  <c r="B28" i="44"/>
  <c r="K25" i="44"/>
  <c r="J25" i="44"/>
  <c r="I25" i="44"/>
  <c r="H25" i="44"/>
  <c r="K24" i="44"/>
  <c r="J24" i="44"/>
  <c r="I24" i="44"/>
  <c r="H24" i="44"/>
  <c r="K23" i="44"/>
  <c r="J23" i="44"/>
  <c r="I23" i="44"/>
  <c r="H23" i="44"/>
  <c r="K22" i="44"/>
  <c r="J22" i="44"/>
  <c r="I22" i="44"/>
  <c r="H22" i="44"/>
  <c r="K21" i="44"/>
  <c r="J21" i="44"/>
  <c r="I21" i="44"/>
  <c r="H21" i="44"/>
  <c r="K20" i="44"/>
  <c r="J20" i="44"/>
  <c r="I20" i="44"/>
  <c r="H20" i="44"/>
  <c r="K19" i="44"/>
  <c r="J19" i="44"/>
  <c r="I19" i="44"/>
  <c r="H19" i="44"/>
  <c r="K18" i="44"/>
  <c r="J18" i="44"/>
  <c r="I18" i="44"/>
  <c r="H18" i="44"/>
  <c r="K17" i="44"/>
  <c r="J17" i="44"/>
  <c r="I17" i="44"/>
  <c r="H17" i="44"/>
  <c r="K16" i="44"/>
  <c r="J16" i="44"/>
  <c r="I16" i="44"/>
  <c r="H16" i="44"/>
  <c r="K15" i="44"/>
  <c r="J15" i="44"/>
  <c r="I15" i="44"/>
  <c r="H15" i="44"/>
  <c r="K14" i="44"/>
  <c r="J14" i="44"/>
  <c r="I14" i="44"/>
  <c r="H14" i="44"/>
  <c r="K13" i="44"/>
  <c r="J13" i="44"/>
  <c r="I13" i="44"/>
  <c r="H13" i="44"/>
  <c r="K12" i="44"/>
  <c r="J12" i="44"/>
  <c r="I12" i="44"/>
  <c r="H12" i="44"/>
  <c r="K11" i="44"/>
  <c r="J11" i="44"/>
  <c r="I11" i="44"/>
  <c r="H11" i="44"/>
  <c r="K10" i="44"/>
  <c r="J10" i="44"/>
  <c r="I10" i="44"/>
  <c r="H10" i="44"/>
  <c r="K9" i="44"/>
  <c r="J9" i="44"/>
  <c r="I9" i="44"/>
  <c r="H9" i="44"/>
  <c r="K8" i="44"/>
  <c r="J8" i="44"/>
  <c r="I8" i="44"/>
  <c r="H8" i="44"/>
  <c r="K7" i="44"/>
  <c r="J7" i="44"/>
  <c r="I7" i="44"/>
  <c r="H7" i="44"/>
  <c r="R69" i="47"/>
  <c r="Q69" i="47"/>
  <c r="P69" i="47"/>
  <c r="O69" i="47"/>
  <c r="N69" i="47"/>
  <c r="M69" i="47"/>
  <c r="K69" i="47"/>
  <c r="J69" i="47"/>
  <c r="I69" i="47"/>
  <c r="H69" i="47"/>
  <c r="G69" i="47"/>
  <c r="F69" i="47"/>
  <c r="E69" i="47"/>
  <c r="D69" i="47"/>
  <c r="C69" i="47"/>
  <c r="S68" i="47"/>
  <c r="R68" i="47"/>
  <c r="Q68" i="47"/>
  <c r="P68" i="47"/>
  <c r="O68" i="47"/>
  <c r="N68" i="47"/>
  <c r="M68" i="47"/>
  <c r="K68" i="47"/>
  <c r="J68" i="47"/>
  <c r="I68" i="47"/>
  <c r="H68" i="47"/>
  <c r="G68" i="47"/>
  <c r="F68" i="47"/>
  <c r="E68" i="47"/>
  <c r="D68" i="47"/>
  <c r="C68" i="47"/>
  <c r="R67" i="47"/>
  <c r="Q67" i="47"/>
  <c r="P67" i="47"/>
  <c r="O67" i="47"/>
  <c r="N67" i="47"/>
  <c r="M67" i="47"/>
  <c r="K67" i="47"/>
  <c r="J67" i="47"/>
  <c r="I67" i="47"/>
  <c r="H67" i="47"/>
  <c r="G67" i="47"/>
  <c r="F67" i="47"/>
  <c r="E67" i="47"/>
  <c r="D67" i="47"/>
  <c r="C67" i="47"/>
  <c r="S65" i="47"/>
  <c r="R65" i="47"/>
  <c r="Q65" i="47"/>
  <c r="P65" i="47"/>
  <c r="O65" i="47"/>
  <c r="N65" i="47"/>
  <c r="M65" i="47"/>
  <c r="K65" i="47"/>
  <c r="J65" i="47"/>
  <c r="I65" i="47"/>
  <c r="H65" i="47"/>
  <c r="G65" i="47"/>
  <c r="F65" i="47"/>
  <c r="E65" i="47"/>
  <c r="D65" i="47"/>
  <c r="C65" i="47"/>
  <c r="R64" i="47"/>
  <c r="Q64" i="47"/>
  <c r="P64" i="47"/>
  <c r="O64" i="47"/>
  <c r="N64" i="47"/>
  <c r="M64" i="47"/>
  <c r="K64" i="47"/>
  <c r="J64" i="47"/>
  <c r="I64" i="47"/>
  <c r="H64" i="47"/>
  <c r="G64" i="47"/>
  <c r="F64" i="47"/>
  <c r="E64" i="47"/>
  <c r="D64" i="47"/>
  <c r="C64" i="47"/>
  <c r="R63" i="47"/>
  <c r="Q63" i="47"/>
  <c r="P63" i="47"/>
  <c r="O63" i="47"/>
  <c r="N63" i="47"/>
  <c r="M63" i="47"/>
  <c r="K63" i="47"/>
  <c r="J63" i="47"/>
  <c r="I63" i="47"/>
  <c r="H63" i="47"/>
  <c r="G63" i="47"/>
  <c r="F63" i="47"/>
  <c r="E63" i="47"/>
  <c r="D63" i="47"/>
  <c r="C63" i="47"/>
  <c r="C52" i="47"/>
  <c r="C9" i="47"/>
  <c r="X87" i="46"/>
  <c r="X92" i="46" s="1"/>
  <c r="W87" i="46"/>
  <c r="W92" i="46" s="1"/>
  <c r="V87" i="46"/>
  <c r="V92" i="46" s="1"/>
  <c r="U87" i="46"/>
  <c r="U92" i="46" s="1"/>
  <c r="T87" i="46"/>
  <c r="T92" i="46" s="1"/>
  <c r="S87" i="46"/>
  <c r="S92" i="46" s="1"/>
  <c r="R87" i="46"/>
  <c r="R92" i="46" s="1"/>
  <c r="Q87" i="46"/>
  <c r="Q92" i="46" s="1"/>
  <c r="P87" i="46"/>
  <c r="P92" i="46" s="1"/>
  <c r="O87" i="46"/>
  <c r="O92" i="46" s="1"/>
  <c r="N87" i="46"/>
  <c r="N92" i="46" s="1"/>
  <c r="M87" i="46"/>
  <c r="M92" i="46" s="1"/>
  <c r="L87" i="46"/>
  <c r="K87" i="46"/>
  <c r="K92" i="46" s="1"/>
  <c r="J87" i="46"/>
  <c r="J92" i="46" s="1"/>
  <c r="I92" i="46"/>
  <c r="H92" i="46"/>
  <c r="F92" i="46"/>
  <c r="E92" i="46"/>
  <c r="Y85" i="46"/>
  <c r="Y87" i="46" s="1"/>
  <c r="Y92" i="46" s="1"/>
  <c r="X84" i="46"/>
  <c r="X91" i="46" s="1"/>
  <c r="W84" i="46"/>
  <c r="W91" i="46" s="1"/>
  <c r="V84" i="46"/>
  <c r="V91" i="46" s="1"/>
  <c r="U84" i="46"/>
  <c r="U91" i="46" s="1"/>
  <c r="T84" i="46"/>
  <c r="T91" i="46" s="1"/>
  <c r="S84" i="46"/>
  <c r="S91" i="46" s="1"/>
  <c r="R84" i="46"/>
  <c r="R91" i="46" s="1"/>
  <c r="Q84" i="46"/>
  <c r="Q91" i="46" s="1"/>
  <c r="P84" i="46"/>
  <c r="P91" i="46" s="1"/>
  <c r="O84" i="46"/>
  <c r="O91" i="46" s="1"/>
  <c r="N84" i="46"/>
  <c r="N91" i="46" s="1"/>
  <c r="M84" i="46"/>
  <c r="M91" i="46" s="1"/>
  <c r="L84" i="46"/>
  <c r="L91" i="46" s="1"/>
  <c r="K84" i="46"/>
  <c r="K91" i="46" s="1"/>
  <c r="J84" i="46"/>
  <c r="J91" i="46" s="1"/>
  <c r="I84" i="46"/>
  <c r="I91" i="46" s="1"/>
  <c r="H84" i="46"/>
  <c r="H91" i="46" s="1"/>
  <c r="G84" i="46"/>
  <c r="G91" i="46" s="1"/>
  <c r="F84" i="46"/>
  <c r="F91" i="46" s="1"/>
  <c r="E84" i="46"/>
  <c r="E91" i="46" s="1"/>
  <c r="Y83" i="46"/>
  <c r="Y84" i="46" s="1"/>
  <c r="Y91" i="46" s="1"/>
  <c r="AA79" i="46"/>
  <c r="B78" i="46"/>
  <c r="Z63" i="46"/>
  <c r="Y63" i="46"/>
  <c r="X63" i="46"/>
  <c r="W63" i="46"/>
  <c r="V63" i="46"/>
  <c r="U63" i="46"/>
  <c r="T63" i="46"/>
  <c r="S63" i="46"/>
  <c r="R63" i="46"/>
  <c r="Q63" i="46"/>
  <c r="P63" i="46"/>
  <c r="O63" i="46"/>
  <c r="N63" i="46"/>
  <c r="M63" i="46"/>
  <c r="L63" i="46"/>
  <c r="K63" i="46"/>
  <c r="J63" i="46"/>
  <c r="I63" i="46"/>
  <c r="H63" i="46"/>
  <c r="G63" i="46"/>
  <c r="G64" i="46" s="1"/>
  <c r="Z54" i="46"/>
  <c r="AA54" i="46" s="1"/>
  <c r="B51" i="46" s="1"/>
  <c r="B50" i="46"/>
  <c r="C37" i="46"/>
  <c r="B23" i="46"/>
  <c r="B20" i="46"/>
  <c r="B12" i="46"/>
  <c r="B11" i="46"/>
  <c r="B10" i="46"/>
  <c r="B9" i="46"/>
  <c r="B8" i="46"/>
  <c r="U191" i="40"/>
  <c r="T191" i="40"/>
  <c r="S191" i="40"/>
  <c r="R191" i="40"/>
  <c r="Q191" i="40"/>
  <c r="P191" i="40"/>
  <c r="O191" i="40"/>
  <c r="N191" i="40"/>
  <c r="M191" i="40"/>
  <c r="L191" i="40"/>
  <c r="K191" i="40"/>
  <c r="J191" i="40"/>
  <c r="I191" i="40"/>
  <c r="H191" i="40"/>
  <c r="G191" i="40"/>
  <c r="F191" i="40"/>
  <c r="E191" i="40"/>
  <c r="D191" i="40"/>
  <c r="C191" i="40"/>
  <c r="B191" i="40"/>
  <c r="U189" i="40"/>
  <c r="T189" i="40"/>
  <c r="S189" i="40"/>
  <c r="R189" i="40"/>
  <c r="Q189" i="40"/>
  <c r="P189" i="40"/>
  <c r="O189" i="40"/>
  <c r="N189" i="40"/>
  <c r="M189" i="40"/>
  <c r="L189" i="40"/>
  <c r="K189" i="40"/>
  <c r="J189" i="40"/>
  <c r="I189" i="40"/>
  <c r="H189" i="40"/>
  <c r="G189" i="40"/>
  <c r="F189" i="40"/>
  <c r="E189" i="40"/>
  <c r="D189" i="40"/>
  <c r="C189" i="40"/>
  <c r="B189" i="40"/>
  <c r="R185" i="40"/>
  <c r="V184" i="40"/>
  <c r="T184" i="40"/>
  <c r="S184" i="40"/>
  <c r="R184" i="40"/>
  <c r="V181" i="40"/>
  <c r="U180" i="40"/>
  <c r="T180" i="40"/>
  <c r="S180" i="40"/>
  <c r="R180" i="40"/>
  <c r="Q180" i="40"/>
  <c r="P180" i="40"/>
  <c r="O180" i="40"/>
  <c r="N180" i="40"/>
  <c r="M180" i="40"/>
  <c r="L180" i="40"/>
  <c r="K180" i="40"/>
  <c r="J180" i="40"/>
  <c r="I180" i="40"/>
  <c r="H180" i="40"/>
  <c r="G180" i="40"/>
  <c r="F180" i="40"/>
  <c r="E180" i="40"/>
  <c r="D180" i="40"/>
  <c r="C180" i="40"/>
  <c r="B180" i="40"/>
  <c r="S179" i="40"/>
  <c r="R179" i="40"/>
  <c r="Q179" i="40"/>
  <c r="P179" i="40"/>
  <c r="O179" i="40"/>
  <c r="N179" i="40"/>
  <c r="M179" i="40"/>
  <c r="L179" i="40"/>
  <c r="K179" i="40"/>
  <c r="J179" i="40"/>
  <c r="I179" i="40"/>
  <c r="H179" i="40"/>
  <c r="G179" i="40"/>
  <c r="F179" i="40"/>
  <c r="E179" i="40"/>
  <c r="D179" i="40"/>
  <c r="C179" i="40"/>
  <c r="B179" i="40"/>
  <c r="S178" i="40"/>
  <c r="R178" i="40"/>
  <c r="Q178" i="40"/>
  <c r="P178" i="40"/>
  <c r="O178" i="40"/>
  <c r="N178" i="40"/>
  <c r="M178" i="40"/>
  <c r="L178" i="40"/>
  <c r="K178" i="40"/>
  <c r="J178" i="40"/>
  <c r="I178" i="40"/>
  <c r="H178" i="40"/>
  <c r="G178" i="40"/>
  <c r="F178" i="40"/>
  <c r="E178" i="40"/>
  <c r="D178" i="40"/>
  <c r="C178" i="40"/>
  <c r="B178" i="40"/>
  <c r="U175" i="40"/>
  <c r="T175" i="40"/>
  <c r="S175" i="40"/>
  <c r="R175" i="40"/>
  <c r="Q175" i="40"/>
  <c r="P175" i="40"/>
  <c r="O175" i="40"/>
  <c r="N175" i="40"/>
  <c r="M175" i="40"/>
  <c r="L175" i="40"/>
  <c r="K175" i="40"/>
  <c r="J175" i="40"/>
  <c r="I175" i="40"/>
  <c r="H175" i="40"/>
  <c r="G175" i="40"/>
  <c r="F175" i="40"/>
  <c r="E175" i="40"/>
  <c r="D175" i="40"/>
  <c r="C175" i="40"/>
  <c r="B175" i="40"/>
  <c r="S174" i="40"/>
  <c r="R174" i="40"/>
  <c r="Q174" i="40"/>
  <c r="P174" i="40"/>
  <c r="O174" i="40"/>
  <c r="N174" i="40"/>
  <c r="M174" i="40"/>
  <c r="L174" i="40"/>
  <c r="K174" i="40"/>
  <c r="J174" i="40"/>
  <c r="I174" i="40"/>
  <c r="H174" i="40"/>
  <c r="G174" i="40"/>
  <c r="F174" i="40"/>
  <c r="E174" i="40"/>
  <c r="D174" i="40"/>
  <c r="C174" i="40"/>
  <c r="B174" i="40"/>
  <c r="S173" i="40"/>
  <c r="R173" i="40"/>
  <c r="Q173" i="40"/>
  <c r="P173" i="40"/>
  <c r="O173" i="40"/>
  <c r="N173" i="40"/>
  <c r="M173" i="40"/>
  <c r="L173" i="40"/>
  <c r="K173" i="40"/>
  <c r="J173" i="40"/>
  <c r="I173" i="40"/>
  <c r="H173" i="40"/>
  <c r="G173" i="40"/>
  <c r="F173" i="40"/>
  <c r="E173" i="40"/>
  <c r="D173" i="40"/>
  <c r="C173" i="40"/>
  <c r="B173" i="40"/>
  <c r="U168" i="40"/>
  <c r="T168" i="40"/>
  <c r="S168" i="40"/>
  <c r="R168" i="40"/>
  <c r="Q168" i="40"/>
  <c r="P168" i="40"/>
  <c r="O168" i="40"/>
  <c r="N168" i="40"/>
  <c r="M168" i="40"/>
  <c r="L168" i="40"/>
  <c r="K168" i="40"/>
  <c r="J168" i="40"/>
  <c r="I168" i="40"/>
  <c r="H168" i="40"/>
  <c r="G168" i="40"/>
  <c r="F168" i="40"/>
  <c r="E168" i="40"/>
  <c r="D168" i="40"/>
  <c r="C168" i="40"/>
  <c r="B168" i="40"/>
  <c r="U167" i="40"/>
  <c r="T167" i="40"/>
  <c r="S167" i="40"/>
  <c r="R167" i="40"/>
  <c r="Q167" i="40"/>
  <c r="P167" i="40"/>
  <c r="O167" i="40"/>
  <c r="N167" i="40"/>
  <c r="M167" i="40"/>
  <c r="L167" i="40"/>
  <c r="K167" i="40"/>
  <c r="J167" i="40"/>
  <c r="I167" i="40"/>
  <c r="H167" i="40"/>
  <c r="G167" i="40"/>
  <c r="F167" i="40"/>
  <c r="E167" i="40"/>
  <c r="D167" i="40"/>
  <c r="C167" i="40"/>
  <c r="B167" i="40"/>
  <c r="U166" i="40"/>
  <c r="T166" i="40"/>
  <c r="S166" i="40"/>
  <c r="R166" i="40"/>
  <c r="Q166" i="40"/>
  <c r="P166" i="40"/>
  <c r="O166" i="40"/>
  <c r="N166" i="40"/>
  <c r="M166" i="40"/>
  <c r="L166" i="40"/>
  <c r="K166" i="40"/>
  <c r="J166" i="40"/>
  <c r="I166" i="40"/>
  <c r="H166" i="40"/>
  <c r="G166" i="40"/>
  <c r="F166" i="40"/>
  <c r="E166" i="40"/>
  <c r="D166" i="40"/>
  <c r="C166" i="40"/>
  <c r="B166" i="40"/>
  <c r="U163" i="40"/>
  <c r="T163" i="40"/>
  <c r="S163" i="40"/>
  <c r="R163" i="40"/>
  <c r="Q163" i="40"/>
  <c r="P163" i="40"/>
  <c r="O163" i="40"/>
  <c r="N163" i="40"/>
  <c r="M163" i="40"/>
  <c r="L163" i="40"/>
  <c r="K163" i="40"/>
  <c r="J163" i="40"/>
  <c r="I163" i="40"/>
  <c r="H163" i="40"/>
  <c r="G163" i="40"/>
  <c r="F163" i="40"/>
  <c r="E163" i="40"/>
  <c r="D163" i="40"/>
  <c r="C163" i="40"/>
  <c r="B163" i="40"/>
  <c r="U162" i="40"/>
  <c r="T162" i="40"/>
  <c r="S162" i="40"/>
  <c r="R162" i="40"/>
  <c r="Q162" i="40"/>
  <c r="P162" i="40"/>
  <c r="O162" i="40"/>
  <c r="N162" i="40"/>
  <c r="M162" i="40"/>
  <c r="L162" i="40"/>
  <c r="K162" i="40"/>
  <c r="J162" i="40"/>
  <c r="I162" i="40"/>
  <c r="H162" i="40"/>
  <c r="G162" i="40"/>
  <c r="F162" i="40"/>
  <c r="E162" i="40"/>
  <c r="D162" i="40"/>
  <c r="C162" i="40"/>
  <c r="B162" i="40"/>
  <c r="U161" i="40"/>
  <c r="T161" i="40"/>
  <c r="S161" i="40"/>
  <c r="R161" i="40"/>
  <c r="Q161" i="40"/>
  <c r="P161" i="40"/>
  <c r="O161" i="40"/>
  <c r="N161" i="40"/>
  <c r="M161" i="40"/>
  <c r="L161" i="40"/>
  <c r="K161" i="40"/>
  <c r="J161" i="40"/>
  <c r="I161" i="40"/>
  <c r="H161" i="40"/>
  <c r="G161" i="40"/>
  <c r="F161" i="40"/>
  <c r="E161" i="40"/>
  <c r="D161" i="40"/>
  <c r="C161" i="40"/>
  <c r="B161" i="40"/>
  <c r="U141" i="40"/>
  <c r="T141" i="40"/>
  <c r="S141" i="40"/>
  <c r="R141" i="40"/>
  <c r="Q141" i="40"/>
  <c r="P141" i="40"/>
  <c r="O141" i="40"/>
  <c r="N141" i="40"/>
  <c r="M141" i="40"/>
  <c r="L141" i="40"/>
  <c r="K141" i="40"/>
  <c r="J141" i="40"/>
  <c r="I141" i="40"/>
  <c r="H141" i="40"/>
  <c r="G141" i="40"/>
  <c r="F141" i="40"/>
  <c r="E141" i="40"/>
  <c r="D141" i="40"/>
  <c r="C141" i="40"/>
  <c r="B141" i="40"/>
  <c r="U140" i="40"/>
  <c r="T140" i="40"/>
  <c r="S140" i="40"/>
  <c r="R140" i="40"/>
  <c r="Q140" i="40"/>
  <c r="P140" i="40"/>
  <c r="O140" i="40"/>
  <c r="N140" i="40"/>
  <c r="M140" i="40"/>
  <c r="L140" i="40"/>
  <c r="K140" i="40"/>
  <c r="J140" i="40"/>
  <c r="I140" i="40"/>
  <c r="H140" i="40"/>
  <c r="G140" i="40"/>
  <c r="F140" i="40"/>
  <c r="E140" i="40"/>
  <c r="D140" i="40"/>
  <c r="C140" i="40"/>
  <c r="B140" i="40"/>
  <c r="U139" i="40"/>
  <c r="S139" i="40"/>
  <c r="R139" i="40"/>
  <c r="Q139" i="40"/>
  <c r="P139" i="40"/>
  <c r="O139" i="40"/>
  <c r="N139" i="40"/>
  <c r="M139" i="40"/>
  <c r="L139" i="40"/>
  <c r="K139" i="40"/>
  <c r="J139" i="40"/>
  <c r="I139" i="40"/>
  <c r="H139" i="40"/>
  <c r="G139" i="40"/>
  <c r="F139" i="40"/>
  <c r="E139" i="40"/>
  <c r="D139" i="40"/>
  <c r="C139" i="40"/>
  <c r="B139" i="40"/>
  <c r="F121" i="40"/>
  <c r="E121" i="40"/>
  <c r="D121" i="40"/>
  <c r="C121" i="40"/>
  <c r="B121" i="40"/>
  <c r="F120" i="40"/>
  <c r="E120" i="40"/>
  <c r="D120" i="40"/>
  <c r="C120" i="40"/>
  <c r="B120" i="40"/>
  <c r="F119" i="40"/>
  <c r="E119" i="40"/>
  <c r="D119" i="40"/>
  <c r="C119" i="40"/>
  <c r="B119" i="40"/>
  <c r="F118" i="40"/>
  <c r="E118" i="40"/>
  <c r="D118" i="40"/>
  <c r="C118" i="40"/>
  <c r="B118" i="40"/>
  <c r="C111" i="40"/>
  <c r="B111" i="40"/>
  <c r="C110" i="40"/>
  <c r="B110" i="40"/>
  <c r="C104" i="40"/>
  <c r="B104" i="40"/>
  <c r="C103" i="40"/>
  <c r="B103" i="40"/>
  <c r="I88" i="40"/>
  <c r="H88" i="40"/>
  <c r="E88" i="40"/>
  <c r="D88" i="40"/>
  <c r="C88" i="40"/>
  <c r="B88" i="40"/>
  <c r="I87" i="40"/>
  <c r="H87" i="40"/>
  <c r="E87" i="40"/>
  <c r="D87" i="40"/>
  <c r="C87" i="40"/>
  <c r="B87" i="40"/>
  <c r="E79" i="40"/>
  <c r="D79" i="40"/>
  <c r="C79" i="40"/>
  <c r="B79" i="40"/>
  <c r="E78" i="40"/>
  <c r="D78" i="40"/>
  <c r="C78" i="40"/>
  <c r="B78" i="40"/>
  <c r="E77" i="40"/>
  <c r="D77" i="40"/>
  <c r="C77" i="40"/>
  <c r="B77" i="40"/>
  <c r="E76" i="40"/>
  <c r="D76" i="40"/>
  <c r="C76" i="40"/>
  <c r="B76" i="40"/>
  <c r="E75" i="40"/>
  <c r="D75" i="40"/>
  <c r="C75" i="40"/>
  <c r="B75" i="40"/>
  <c r="E74" i="40"/>
  <c r="D74" i="40"/>
  <c r="C74" i="40"/>
  <c r="B74" i="40"/>
  <c r="E73" i="40"/>
  <c r="D73" i="40"/>
  <c r="C73" i="40"/>
  <c r="B73" i="40"/>
  <c r="E72" i="40"/>
  <c r="D72" i="40"/>
  <c r="C72" i="40"/>
  <c r="B72" i="40"/>
  <c r="E71" i="40"/>
  <c r="D71" i="40"/>
  <c r="C71" i="40"/>
  <c r="B71" i="40"/>
  <c r="E70" i="40"/>
  <c r="D70" i="40"/>
  <c r="C70" i="40"/>
  <c r="B70" i="40"/>
  <c r="E67" i="40"/>
  <c r="D67" i="40"/>
  <c r="C67" i="40"/>
  <c r="B67" i="40"/>
  <c r="E66" i="40"/>
  <c r="D66" i="40"/>
  <c r="C66" i="40"/>
  <c r="B66" i="40"/>
  <c r="E65" i="40"/>
  <c r="D65" i="40"/>
  <c r="C65" i="40"/>
  <c r="B65" i="40"/>
  <c r="E64" i="40"/>
  <c r="D64" i="40"/>
  <c r="C64" i="40"/>
  <c r="B64" i="40"/>
  <c r="E63" i="40"/>
  <c r="D63" i="40"/>
  <c r="C63" i="40"/>
  <c r="B63" i="40"/>
  <c r="E62" i="40"/>
  <c r="D62" i="40"/>
  <c r="C62" i="40"/>
  <c r="B62" i="40"/>
  <c r="E61" i="40"/>
  <c r="D61" i="40"/>
  <c r="C61" i="40"/>
  <c r="B61" i="40"/>
  <c r="E60" i="40"/>
  <c r="D60" i="40"/>
  <c r="C60" i="40"/>
  <c r="B60" i="40"/>
  <c r="N59" i="40"/>
  <c r="E59" i="40"/>
  <c r="D59" i="40"/>
  <c r="C59" i="40"/>
  <c r="B59" i="40"/>
  <c r="E58" i="40"/>
  <c r="D58" i="40"/>
  <c r="C58" i="40"/>
  <c r="B58" i="40"/>
  <c r="D53" i="40"/>
  <c r="C53" i="40"/>
  <c r="B53" i="40"/>
  <c r="E52" i="40"/>
  <c r="D52" i="40"/>
  <c r="C52" i="40"/>
  <c r="B52" i="40"/>
  <c r="E51" i="40"/>
  <c r="D51" i="40"/>
  <c r="C51" i="40"/>
  <c r="B51" i="40"/>
  <c r="E50" i="40"/>
  <c r="D50" i="40"/>
  <c r="C50" i="40"/>
  <c r="B50" i="40"/>
  <c r="E49" i="40"/>
  <c r="D49" i="40"/>
  <c r="C49" i="40"/>
  <c r="B49" i="40"/>
  <c r="E48" i="40"/>
  <c r="D48" i="40"/>
  <c r="C48" i="40"/>
  <c r="B48" i="40"/>
  <c r="E47" i="40"/>
  <c r="D47" i="40"/>
  <c r="C47" i="40"/>
  <c r="B47" i="40"/>
  <c r="E46" i="40"/>
  <c r="D46" i="40"/>
  <c r="C46" i="40"/>
  <c r="B46" i="40"/>
  <c r="E45" i="40"/>
  <c r="D45" i="40"/>
  <c r="C45" i="40"/>
  <c r="B45" i="40"/>
  <c r="E44" i="40"/>
  <c r="D44" i="40"/>
  <c r="C44" i="40"/>
  <c r="B44" i="40"/>
  <c r="E43" i="40"/>
  <c r="D43" i="40"/>
  <c r="B43" i="40"/>
  <c r="C36" i="40"/>
  <c r="B36" i="40"/>
  <c r="C35" i="40"/>
  <c r="B35" i="40"/>
  <c r="C34" i="40"/>
  <c r="B34" i="40"/>
  <c r="C33" i="40"/>
  <c r="B33" i="40"/>
  <c r="C32" i="40"/>
  <c r="B32" i="40"/>
  <c r="C31" i="40"/>
  <c r="B31" i="40"/>
  <c r="C30" i="40"/>
  <c r="B30" i="40"/>
  <c r="C29" i="40"/>
  <c r="B29" i="40"/>
  <c r="C28" i="40"/>
  <c r="B28" i="40"/>
  <c r="C27" i="40"/>
  <c r="B27" i="40"/>
  <c r="D22" i="40"/>
  <c r="C22" i="40"/>
  <c r="B22" i="40"/>
  <c r="D21" i="40"/>
  <c r="C21" i="40"/>
  <c r="B21" i="40"/>
  <c r="D20" i="40"/>
  <c r="C20" i="40"/>
  <c r="B20" i="40"/>
  <c r="D19" i="40"/>
  <c r="C19" i="40"/>
  <c r="B19" i="40"/>
  <c r="D18" i="40"/>
  <c r="C18" i="40"/>
  <c r="B18" i="40"/>
  <c r="D17" i="40"/>
  <c r="C17" i="40"/>
  <c r="B17" i="40"/>
  <c r="D16" i="40"/>
  <c r="C16" i="40"/>
  <c r="B16" i="40"/>
  <c r="D15" i="40"/>
  <c r="C15" i="40"/>
  <c r="B15" i="40"/>
  <c r="E14" i="40"/>
  <c r="D14" i="40"/>
  <c r="C14" i="40"/>
  <c r="B14" i="40"/>
  <c r="D13" i="40"/>
  <c r="C13" i="40"/>
  <c r="B13" i="40"/>
  <c r="D10" i="40"/>
  <c r="C10" i="40"/>
  <c r="B10" i="40"/>
  <c r="D9" i="40"/>
  <c r="C9" i="40"/>
  <c r="B9" i="40"/>
  <c r="G345" i="29"/>
  <c r="G344" i="29"/>
  <c r="D344" i="29"/>
  <c r="C344" i="29"/>
  <c r="G341" i="29"/>
  <c r="F341" i="29"/>
  <c r="G340" i="29"/>
  <c r="F340" i="29"/>
  <c r="G338" i="29"/>
  <c r="F338" i="29"/>
  <c r="G337" i="29"/>
  <c r="F337" i="29"/>
  <c r="X332" i="29"/>
  <c r="W332" i="29"/>
  <c r="V332" i="29"/>
  <c r="U332" i="29"/>
  <c r="T332" i="29"/>
  <c r="S332" i="29"/>
  <c r="R332" i="29"/>
  <c r="Q332" i="29"/>
  <c r="P332" i="29"/>
  <c r="O332" i="29"/>
  <c r="N332" i="29"/>
  <c r="M332" i="29"/>
  <c r="L332" i="29"/>
  <c r="K332" i="29"/>
  <c r="J332" i="29"/>
  <c r="I332" i="29"/>
  <c r="H332" i="29"/>
  <c r="G332" i="29"/>
  <c r="F332" i="29"/>
  <c r="D328" i="29"/>
  <c r="C328" i="29"/>
  <c r="B328" i="29"/>
  <c r="W313" i="29"/>
  <c r="B313" i="29"/>
  <c r="W312" i="29"/>
  <c r="W311" i="29"/>
  <c r="W310" i="29"/>
  <c r="Y307" i="29"/>
  <c r="X307" i="29"/>
  <c r="W307" i="29"/>
  <c r="V307" i="29"/>
  <c r="U307" i="29"/>
  <c r="T307" i="29"/>
  <c r="S307" i="29"/>
  <c r="R307" i="29"/>
  <c r="Q307" i="29"/>
  <c r="P307" i="29"/>
  <c r="O307" i="29"/>
  <c r="N307" i="29"/>
  <c r="M307" i="29"/>
  <c r="L307" i="29"/>
  <c r="K307" i="29"/>
  <c r="J307" i="29"/>
  <c r="I307" i="29"/>
  <c r="H307" i="29"/>
  <c r="G307" i="29"/>
  <c r="F307" i="29"/>
  <c r="E307" i="29"/>
  <c r="Y306" i="29"/>
  <c r="X306" i="29"/>
  <c r="W306" i="29"/>
  <c r="V306" i="29"/>
  <c r="U306" i="29"/>
  <c r="T306" i="29"/>
  <c r="S306" i="29"/>
  <c r="R306" i="29"/>
  <c r="Q306" i="29"/>
  <c r="P306" i="29"/>
  <c r="O306" i="29"/>
  <c r="N306" i="29"/>
  <c r="M306" i="29"/>
  <c r="L306" i="29"/>
  <c r="K306" i="29"/>
  <c r="J306" i="29"/>
  <c r="I306" i="29"/>
  <c r="H306" i="29"/>
  <c r="G306" i="29"/>
  <c r="F306" i="29"/>
  <c r="E306" i="29"/>
  <c r="Y302" i="29"/>
  <c r="X302" i="29"/>
  <c r="W302" i="29"/>
  <c r="V302" i="29"/>
  <c r="U302" i="29"/>
  <c r="T302" i="29"/>
  <c r="S302" i="29"/>
  <c r="R302" i="29"/>
  <c r="Q302" i="29"/>
  <c r="P302" i="29"/>
  <c r="O302" i="29"/>
  <c r="N302" i="29"/>
  <c r="M302" i="29"/>
  <c r="L302" i="29"/>
  <c r="K302" i="29"/>
  <c r="J302" i="29"/>
  <c r="I302" i="29"/>
  <c r="H302" i="29"/>
  <c r="G302" i="29"/>
  <c r="F302" i="29"/>
  <c r="E302" i="29"/>
  <c r="Y300" i="29"/>
  <c r="Y299" i="29"/>
  <c r="X299" i="29"/>
  <c r="W299" i="29"/>
  <c r="V299" i="29"/>
  <c r="U299" i="29"/>
  <c r="T299" i="29"/>
  <c r="S299" i="29"/>
  <c r="R299" i="29"/>
  <c r="Q299" i="29"/>
  <c r="P299" i="29"/>
  <c r="O299" i="29"/>
  <c r="N299" i="29"/>
  <c r="M299" i="29"/>
  <c r="L299" i="29"/>
  <c r="K299" i="29"/>
  <c r="J299" i="29"/>
  <c r="I299" i="29"/>
  <c r="H299" i="29"/>
  <c r="G299" i="29"/>
  <c r="F299" i="29"/>
  <c r="E299" i="29"/>
  <c r="Y298" i="29"/>
  <c r="B294" i="29"/>
  <c r="P293" i="29"/>
  <c r="O293" i="29"/>
  <c r="N293" i="29"/>
  <c r="M293" i="29"/>
  <c r="L293" i="29"/>
  <c r="K293" i="29"/>
  <c r="J293" i="29"/>
  <c r="I293" i="29"/>
  <c r="H293" i="29"/>
  <c r="G293" i="29"/>
  <c r="F293" i="29"/>
  <c r="E293" i="29"/>
  <c r="AA288" i="29"/>
  <c r="B287" i="29"/>
  <c r="I280" i="29"/>
  <c r="G280" i="29"/>
  <c r="E280" i="29"/>
  <c r="Z277" i="29"/>
  <c r="Y277" i="29"/>
  <c r="X277" i="29"/>
  <c r="W277" i="29"/>
  <c r="V277" i="29"/>
  <c r="U277" i="29"/>
  <c r="T277" i="29"/>
  <c r="S277" i="29"/>
  <c r="R277" i="29"/>
  <c r="Q277" i="29"/>
  <c r="P277" i="29"/>
  <c r="O277" i="29"/>
  <c r="N277" i="29"/>
  <c r="M277" i="29"/>
  <c r="L277" i="29"/>
  <c r="K277" i="29"/>
  <c r="J277" i="29"/>
  <c r="I277" i="29"/>
  <c r="H277" i="29"/>
  <c r="G277" i="29"/>
  <c r="F277" i="29"/>
  <c r="Z275" i="29"/>
  <c r="Y275" i="29"/>
  <c r="X275" i="29"/>
  <c r="W275" i="29"/>
  <c r="V275" i="29"/>
  <c r="U275" i="29"/>
  <c r="T275" i="29"/>
  <c r="S275" i="29"/>
  <c r="R275" i="29"/>
  <c r="Q275" i="29"/>
  <c r="P275" i="29"/>
  <c r="O275" i="29"/>
  <c r="N275" i="29"/>
  <c r="M275" i="29"/>
  <c r="L275" i="29"/>
  <c r="K275" i="29"/>
  <c r="J275" i="29"/>
  <c r="I275" i="29"/>
  <c r="H275" i="29"/>
  <c r="G275" i="29"/>
  <c r="F275" i="29"/>
  <c r="Z274" i="29"/>
  <c r="Y274" i="29"/>
  <c r="X274" i="29"/>
  <c r="W274" i="29"/>
  <c r="V274" i="29"/>
  <c r="U274" i="29"/>
  <c r="T274" i="29"/>
  <c r="S274" i="29"/>
  <c r="R274" i="29"/>
  <c r="Q274" i="29"/>
  <c r="P274" i="29"/>
  <c r="O274" i="29"/>
  <c r="N274" i="29"/>
  <c r="M274" i="29"/>
  <c r="L274" i="29"/>
  <c r="K274" i="29"/>
  <c r="J274" i="29"/>
  <c r="I274" i="29"/>
  <c r="H274" i="29"/>
  <c r="G274" i="29"/>
  <c r="F274" i="29"/>
  <c r="Y273" i="29"/>
  <c r="X273" i="29"/>
  <c r="W273" i="29"/>
  <c r="V273" i="29"/>
  <c r="U273" i="29"/>
  <c r="T273" i="29"/>
  <c r="S273" i="29"/>
  <c r="R273" i="29"/>
  <c r="Q273" i="29"/>
  <c r="P273" i="29"/>
  <c r="O273" i="29"/>
  <c r="N273" i="29"/>
  <c r="M273" i="29"/>
  <c r="L273" i="29"/>
  <c r="K273" i="29"/>
  <c r="J273" i="29"/>
  <c r="I273" i="29"/>
  <c r="H273" i="29"/>
  <c r="G273" i="29"/>
  <c r="F273" i="29"/>
  <c r="Z272" i="29"/>
  <c r="Y272" i="29"/>
  <c r="X272" i="29"/>
  <c r="W272" i="29"/>
  <c r="V272" i="29"/>
  <c r="U272" i="29"/>
  <c r="T272" i="29"/>
  <c r="S272" i="29"/>
  <c r="R272" i="29"/>
  <c r="Q272" i="29"/>
  <c r="P272" i="29"/>
  <c r="O272" i="29"/>
  <c r="N272" i="29"/>
  <c r="M272" i="29"/>
  <c r="L272" i="29"/>
  <c r="K272" i="29"/>
  <c r="J272" i="29"/>
  <c r="I272" i="29"/>
  <c r="H272" i="29"/>
  <c r="G272" i="29"/>
  <c r="Z271" i="29"/>
  <c r="Y271" i="29"/>
  <c r="X271" i="29"/>
  <c r="W271" i="29"/>
  <c r="V271" i="29"/>
  <c r="U271" i="29"/>
  <c r="T271" i="29"/>
  <c r="S271" i="29"/>
  <c r="R271" i="29"/>
  <c r="Q271" i="29"/>
  <c r="P271" i="29"/>
  <c r="O271" i="29"/>
  <c r="N271" i="29"/>
  <c r="M271" i="29"/>
  <c r="L271" i="29"/>
  <c r="K271" i="29"/>
  <c r="J271" i="29"/>
  <c r="I271" i="29"/>
  <c r="H271" i="29"/>
  <c r="G271" i="29"/>
  <c r="AA262" i="29"/>
  <c r="Z262" i="29"/>
  <c r="B261" i="29"/>
  <c r="B259" i="29"/>
  <c r="B258" i="29"/>
  <c r="D247" i="29"/>
  <c r="B247" i="29"/>
  <c r="C246" i="29"/>
  <c r="B246" i="29"/>
  <c r="D243" i="29"/>
  <c r="D242" i="29"/>
  <c r="B242" i="29"/>
  <c r="D239" i="29"/>
  <c r="B239" i="29"/>
  <c r="B238" i="29"/>
  <c r="B234" i="29"/>
  <c r="B233" i="29"/>
  <c r="B229" i="29"/>
  <c r="D223" i="29"/>
  <c r="B222" i="29"/>
  <c r="D221" i="29"/>
  <c r="C221" i="29"/>
  <c r="B221" i="29"/>
  <c r="B220" i="29"/>
  <c r="D219" i="29"/>
  <c r="C219" i="29"/>
  <c r="B219" i="29"/>
  <c r="B218" i="29"/>
  <c r="D217" i="29"/>
  <c r="C217" i="29"/>
  <c r="B217" i="29"/>
  <c r="S212" i="29"/>
  <c r="R212" i="29"/>
  <c r="Q212" i="29"/>
  <c r="P212" i="29"/>
  <c r="O212" i="29"/>
  <c r="N212" i="29"/>
  <c r="M212" i="29"/>
  <c r="L212" i="29"/>
  <c r="K212" i="29"/>
  <c r="J212" i="29"/>
  <c r="I212" i="29"/>
  <c r="H212" i="29"/>
  <c r="G212" i="29"/>
  <c r="F212" i="29"/>
  <c r="E212" i="29"/>
  <c r="D212" i="29"/>
  <c r="C212" i="29"/>
  <c r="B212" i="29"/>
  <c r="V201" i="29"/>
  <c r="U201" i="29"/>
  <c r="T201" i="29"/>
  <c r="S201" i="29"/>
  <c r="R201" i="29"/>
  <c r="Q201" i="29"/>
  <c r="P201" i="29"/>
  <c r="O201" i="29"/>
  <c r="N201" i="29"/>
  <c r="M201" i="29"/>
  <c r="L201" i="29"/>
  <c r="K201" i="29"/>
  <c r="J201" i="29"/>
  <c r="I201" i="29"/>
  <c r="H201" i="29"/>
  <c r="G201" i="29"/>
  <c r="F201" i="29"/>
  <c r="E201" i="29"/>
  <c r="D201" i="29"/>
  <c r="C201" i="29"/>
  <c r="B201" i="29"/>
  <c r="V199" i="29"/>
  <c r="U199" i="29"/>
  <c r="T199" i="29"/>
  <c r="S199" i="29"/>
  <c r="R199" i="29"/>
  <c r="Q199" i="29"/>
  <c r="P199" i="29"/>
  <c r="O199" i="29"/>
  <c r="N199" i="29"/>
  <c r="M199" i="29"/>
  <c r="L199" i="29"/>
  <c r="K199" i="29"/>
  <c r="J199" i="29"/>
  <c r="I199" i="29"/>
  <c r="H199" i="29"/>
  <c r="G199" i="29"/>
  <c r="F199" i="29"/>
  <c r="E199" i="29"/>
  <c r="D199" i="29"/>
  <c r="C199" i="29"/>
  <c r="B199" i="29"/>
  <c r="S192" i="29"/>
  <c r="AR191" i="29"/>
  <c r="AQ191" i="29"/>
  <c r="AP191" i="29"/>
  <c r="AO191" i="29"/>
  <c r="AN191" i="29"/>
  <c r="AM191" i="29"/>
  <c r="AL191" i="29"/>
  <c r="AK191" i="29"/>
  <c r="AJ191" i="29"/>
  <c r="AI191" i="29"/>
  <c r="AH191" i="29"/>
  <c r="AG191" i="29"/>
  <c r="AF191" i="29"/>
  <c r="AE191" i="29"/>
  <c r="AD191" i="29"/>
  <c r="AC191" i="29"/>
  <c r="AB191" i="29"/>
  <c r="AR190" i="29"/>
  <c r="AQ190" i="29"/>
  <c r="AP190" i="29"/>
  <c r="AO190" i="29"/>
  <c r="AN190" i="29"/>
  <c r="AM190" i="29"/>
  <c r="AL190" i="29"/>
  <c r="AK190" i="29"/>
  <c r="AJ190" i="29"/>
  <c r="AI190" i="29"/>
  <c r="AH190" i="29"/>
  <c r="AG190" i="29"/>
  <c r="AF190" i="29"/>
  <c r="AE190" i="29"/>
  <c r="AD190" i="29"/>
  <c r="AC190" i="29"/>
  <c r="AB190" i="29"/>
  <c r="W190" i="29"/>
  <c r="V190" i="29"/>
  <c r="U190" i="29"/>
  <c r="T190" i="29"/>
  <c r="S190" i="29"/>
  <c r="H190" i="29"/>
  <c r="C190" i="29"/>
  <c r="W189" i="29"/>
  <c r="V189" i="29"/>
  <c r="U189" i="29"/>
  <c r="T189" i="29"/>
  <c r="S189" i="29"/>
  <c r="AR188" i="29"/>
  <c r="AQ188" i="29"/>
  <c r="AP188" i="29"/>
  <c r="AO188" i="29"/>
  <c r="AN188" i="29"/>
  <c r="AM188" i="29"/>
  <c r="AL188" i="29"/>
  <c r="AK188" i="29"/>
  <c r="AJ188" i="29"/>
  <c r="AI188" i="29"/>
  <c r="AH188" i="29"/>
  <c r="AG188" i="29"/>
  <c r="AF188" i="29"/>
  <c r="AE188" i="29"/>
  <c r="AD188" i="29"/>
  <c r="AC188" i="29"/>
  <c r="AB188" i="29"/>
  <c r="AR187" i="29"/>
  <c r="AQ187" i="29"/>
  <c r="AP187" i="29"/>
  <c r="AO187" i="29"/>
  <c r="AN187" i="29"/>
  <c r="AM187" i="29"/>
  <c r="AL187" i="29"/>
  <c r="AK187" i="29"/>
  <c r="AJ187" i="29"/>
  <c r="AI187" i="29"/>
  <c r="AH187" i="29"/>
  <c r="AG187" i="29"/>
  <c r="AF187" i="29"/>
  <c r="AE187" i="29"/>
  <c r="AD187" i="29"/>
  <c r="AC187" i="29"/>
  <c r="AB187" i="29"/>
  <c r="U187" i="29"/>
  <c r="AR186" i="29"/>
  <c r="AQ186" i="29"/>
  <c r="AP186" i="29"/>
  <c r="AO186" i="29"/>
  <c r="AN186" i="29"/>
  <c r="AM186" i="29"/>
  <c r="AL186" i="29"/>
  <c r="AK186" i="29"/>
  <c r="AJ186" i="29"/>
  <c r="AI186" i="29"/>
  <c r="AH186" i="29"/>
  <c r="AG186" i="29"/>
  <c r="AF186" i="29"/>
  <c r="AE186" i="29"/>
  <c r="AD186" i="29"/>
  <c r="AC186" i="29"/>
  <c r="AB186" i="29"/>
  <c r="V186" i="29"/>
  <c r="U186" i="29"/>
  <c r="T186" i="29"/>
  <c r="S186" i="29"/>
  <c r="R186" i="29"/>
  <c r="Q186" i="29"/>
  <c r="P186" i="29"/>
  <c r="O186" i="29"/>
  <c r="N186" i="29"/>
  <c r="M186" i="29"/>
  <c r="L186" i="29"/>
  <c r="K186" i="29"/>
  <c r="J186" i="29"/>
  <c r="I186" i="29"/>
  <c r="H186" i="29"/>
  <c r="G186" i="29"/>
  <c r="F186" i="29"/>
  <c r="E186" i="29"/>
  <c r="D186" i="29"/>
  <c r="C186" i="29"/>
  <c r="B186" i="29"/>
  <c r="AR185" i="29"/>
  <c r="AQ185" i="29"/>
  <c r="AP185" i="29"/>
  <c r="AO185" i="29"/>
  <c r="AN185" i="29"/>
  <c r="AM185" i="29"/>
  <c r="AL185" i="29"/>
  <c r="AK185" i="29"/>
  <c r="AJ185" i="29"/>
  <c r="AI185" i="29"/>
  <c r="AH185" i="29"/>
  <c r="AG185" i="29"/>
  <c r="AF185" i="29"/>
  <c r="AE185" i="29"/>
  <c r="AD185" i="29"/>
  <c r="AC185" i="29"/>
  <c r="AB185" i="29"/>
  <c r="AR184" i="29"/>
  <c r="AQ184" i="29"/>
  <c r="AP184" i="29"/>
  <c r="AO184" i="29"/>
  <c r="AN184" i="29"/>
  <c r="AM184" i="29"/>
  <c r="AL184" i="29"/>
  <c r="AK184" i="29"/>
  <c r="AJ184" i="29"/>
  <c r="AI184" i="29"/>
  <c r="AH184" i="29"/>
  <c r="AG184" i="29"/>
  <c r="AF184" i="29"/>
  <c r="AE184" i="29"/>
  <c r="AD184" i="29"/>
  <c r="AC184" i="29"/>
  <c r="AB184" i="29"/>
  <c r="AR181" i="29"/>
  <c r="AQ181" i="29"/>
  <c r="AP181" i="29"/>
  <c r="AO181" i="29"/>
  <c r="AN181" i="29"/>
  <c r="AM181" i="29"/>
  <c r="AL181" i="29"/>
  <c r="AK181" i="29"/>
  <c r="AJ181" i="29"/>
  <c r="AI181" i="29"/>
  <c r="AH181" i="29"/>
  <c r="AG181" i="29"/>
  <c r="AF181" i="29"/>
  <c r="AE181" i="29"/>
  <c r="AD181" i="29"/>
  <c r="AC181" i="29"/>
  <c r="AB181" i="29"/>
  <c r="AR180" i="29"/>
  <c r="AQ180" i="29"/>
  <c r="AP180" i="29"/>
  <c r="AO180" i="29"/>
  <c r="AN180" i="29"/>
  <c r="AM180" i="29"/>
  <c r="AL180" i="29"/>
  <c r="AK180" i="29"/>
  <c r="AJ180" i="29"/>
  <c r="AI180" i="29"/>
  <c r="AH180" i="29"/>
  <c r="AG180" i="29"/>
  <c r="AF180" i="29"/>
  <c r="AE180" i="29"/>
  <c r="AD180" i="29"/>
  <c r="AC180" i="29"/>
  <c r="AB180" i="29"/>
  <c r="U180" i="29"/>
  <c r="AR179" i="29"/>
  <c r="AQ179" i="29"/>
  <c r="AP179" i="29"/>
  <c r="AO179" i="29"/>
  <c r="AN179" i="29"/>
  <c r="AM179" i="29"/>
  <c r="AL179" i="29"/>
  <c r="AK179" i="29"/>
  <c r="AJ179" i="29"/>
  <c r="AI179" i="29"/>
  <c r="AH179" i="29"/>
  <c r="AG179" i="29"/>
  <c r="AF179" i="29"/>
  <c r="AE179" i="29"/>
  <c r="AD179" i="29"/>
  <c r="AC179" i="29"/>
  <c r="AB179" i="29"/>
  <c r="V179" i="29"/>
  <c r="U179" i="29"/>
  <c r="T179" i="29"/>
  <c r="S179" i="29"/>
  <c r="R179" i="29"/>
  <c r="Q179" i="29"/>
  <c r="P179" i="29"/>
  <c r="O179" i="29"/>
  <c r="N179" i="29"/>
  <c r="M179" i="29"/>
  <c r="L179" i="29"/>
  <c r="K179" i="29"/>
  <c r="J179" i="29"/>
  <c r="I179" i="29"/>
  <c r="H179" i="29"/>
  <c r="G179" i="29"/>
  <c r="F179" i="29"/>
  <c r="E179" i="29"/>
  <c r="D179" i="29"/>
  <c r="C179" i="29"/>
  <c r="B179" i="29"/>
  <c r="AR178" i="29"/>
  <c r="AQ178" i="29"/>
  <c r="AP178" i="29"/>
  <c r="AO178" i="29"/>
  <c r="AN178" i="29"/>
  <c r="AM178" i="29"/>
  <c r="AL178" i="29"/>
  <c r="AK178" i="29"/>
  <c r="AJ178" i="29"/>
  <c r="AI178" i="29"/>
  <c r="AH178" i="29"/>
  <c r="AG178" i="29"/>
  <c r="AF178" i="29"/>
  <c r="AE178" i="29"/>
  <c r="AD178" i="29"/>
  <c r="AC178" i="29"/>
  <c r="AB178" i="29"/>
  <c r="AR177" i="29"/>
  <c r="AQ177" i="29"/>
  <c r="AP177" i="29"/>
  <c r="AO177" i="29"/>
  <c r="AN177" i="29"/>
  <c r="AM177" i="29"/>
  <c r="AL177" i="29"/>
  <c r="AK177" i="29"/>
  <c r="AJ177" i="29"/>
  <c r="AI177" i="29"/>
  <c r="AH177" i="29"/>
  <c r="AG177" i="29"/>
  <c r="AF177" i="29"/>
  <c r="AE177" i="29"/>
  <c r="AD177" i="29"/>
  <c r="AC177" i="29"/>
  <c r="AB177" i="29"/>
  <c r="U146" i="29"/>
  <c r="V145" i="29"/>
  <c r="U145" i="29"/>
  <c r="T145" i="29"/>
  <c r="S145" i="29"/>
  <c r="R145" i="29"/>
  <c r="Q145" i="29"/>
  <c r="P145" i="29"/>
  <c r="O145" i="29"/>
  <c r="N145" i="29"/>
  <c r="M145" i="29"/>
  <c r="L145" i="29"/>
  <c r="K145" i="29"/>
  <c r="J145" i="29"/>
  <c r="I145" i="29"/>
  <c r="H145" i="29"/>
  <c r="G145" i="29"/>
  <c r="F145" i="29"/>
  <c r="E145" i="29"/>
  <c r="D145" i="29"/>
  <c r="C145" i="29"/>
  <c r="B145" i="29"/>
  <c r="V144" i="29"/>
  <c r="U144" i="29"/>
  <c r="T144" i="29"/>
  <c r="S144" i="29"/>
  <c r="R144" i="29"/>
  <c r="Q144" i="29"/>
  <c r="P144" i="29"/>
  <c r="O144" i="29"/>
  <c r="N144" i="29"/>
  <c r="M144" i="29"/>
  <c r="L144" i="29"/>
  <c r="K144" i="29"/>
  <c r="J144" i="29"/>
  <c r="I144" i="29"/>
  <c r="H144" i="29"/>
  <c r="G144" i="29"/>
  <c r="F144" i="29"/>
  <c r="E144" i="29"/>
  <c r="D144" i="29"/>
  <c r="C144" i="29"/>
  <c r="B144" i="29"/>
  <c r="V143" i="29"/>
  <c r="U143" i="29"/>
  <c r="T143" i="29"/>
  <c r="S143" i="29"/>
  <c r="R143" i="29"/>
  <c r="Q143" i="29"/>
  <c r="P143" i="29"/>
  <c r="O143" i="29"/>
  <c r="N143" i="29"/>
  <c r="M143" i="29"/>
  <c r="L143" i="29"/>
  <c r="K143" i="29"/>
  <c r="J143" i="29"/>
  <c r="I143" i="29"/>
  <c r="H143" i="29"/>
  <c r="G143" i="29"/>
  <c r="F143" i="29"/>
  <c r="E143" i="29"/>
  <c r="D143" i="29"/>
  <c r="C143" i="29"/>
  <c r="B143" i="29"/>
  <c r="U141" i="29"/>
  <c r="V140" i="29"/>
  <c r="U140" i="29"/>
  <c r="T140" i="29"/>
  <c r="S140" i="29"/>
  <c r="R140" i="29"/>
  <c r="Q140" i="29"/>
  <c r="P140" i="29"/>
  <c r="O140" i="29"/>
  <c r="N140" i="29"/>
  <c r="M140" i="29"/>
  <c r="L140" i="29"/>
  <c r="K140" i="29"/>
  <c r="J140" i="29"/>
  <c r="I140" i="29"/>
  <c r="H140" i="29"/>
  <c r="G140" i="29"/>
  <c r="F140" i="29"/>
  <c r="E140" i="29"/>
  <c r="D140" i="29"/>
  <c r="C140" i="29"/>
  <c r="B140" i="29"/>
  <c r="V139" i="29"/>
  <c r="U139" i="29"/>
  <c r="T139" i="29"/>
  <c r="S139" i="29"/>
  <c r="R139" i="29"/>
  <c r="Q139" i="29"/>
  <c r="P139" i="29"/>
  <c r="O139" i="29"/>
  <c r="N139" i="29"/>
  <c r="M139" i="29"/>
  <c r="L139" i="29"/>
  <c r="K139" i="29"/>
  <c r="J139" i="29"/>
  <c r="I139" i="29"/>
  <c r="H139" i="29"/>
  <c r="G139" i="29"/>
  <c r="F139" i="29"/>
  <c r="E139" i="29"/>
  <c r="D139" i="29"/>
  <c r="C139" i="29"/>
  <c r="B139" i="29"/>
  <c r="V138" i="29"/>
  <c r="U138" i="29"/>
  <c r="T138" i="29"/>
  <c r="S138" i="29"/>
  <c r="R138" i="29"/>
  <c r="Q138" i="29"/>
  <c r="P138" i="29"/>
  <c r="O138" i="29"/>
  <c r="N138" i="29"/>
  <c r="M138" i="29"/>
  <c r="L138" i="29"/>
  <c r="K138" i="29"/>
  <c r="J138" i="29"/>
  <c r="I138" i="29"/>
  <c r="H138" i="29"/>
  <c r="G138" i="29"/>
  <c r="F138" i="29"/>
  <c r="E138" i="29"/>
  <c r="D138" i="29"/>
  <c r="C138" i="29"/>
  <c r="B138" i="29"/>
  <c r="W117" i="29"/>
  <c r="V117" i="29"/>
  <c r="U117" i="29"/>
  <c r="T117" i="29"/>
  <c r="V116" i="29"/>
  <c r="U116" i="29"/>
  <c r="T116" i="29"/>
  <c r="S116" i="29"/>
  <c r="R116" i="29"/>
  <c r="Q116" i="29"/>
  <c r="P116" i="29"/>
  <c r="O116" i="29"/>
  <c r="N116" i="29"/>
  <c r="M116" i="29"/>
  <c r="L116" i="29"/>
  <c r="K116" i="29"/>
  <c r="J116" i="29"/>
  <c r="I116" i="29"/>
  <c r="H116" i="29"/>
  <c r="G116" i="29"/>
  <c r="F116" i="29"/>
  <c r="E116" i="29"/>
  <c r="D116" i="29"/>
  <c r="C116" i="29"/>
  <c r="B116" i="29"/>
  <c r="X115" i="29"/>
  <c r="V115" i="29"/>
  <c r="U115" i="29"/>
  <c r="T115" i="29"/>
  <c r="S115" i="29"/>
  <c r="R115" i="29"/>
  <c r="Q115" i="29"/>
  <c r="P115" i="29"/>
  <c r="O115" i="29"/>
  <c r="N115" i="29"/>
  <c r="M115" i="29"/>
  <c r="L115" i="29"/>
  <c r="K115" i="29"/>
  <c r="J115" i="29"/>
  <c r="I115" i="29"/>
  <c r="H115" i="29"/>
  <c r="G115" i="29"/>
  <c r="F115" i="29"/>
  <c r="E115" i="29"/>
  <c r="D115" i="29"/>
  <c r="C115" i="29"/>
  <c r="B115" i="29"/>
  <c r="F94" i="29"/>
  <c r="E94" i="29"/>
  <c r="D94" i="29"/>
  <c r="C94" i="29"/>
  <c r="B94" i="29"/>
  <c r="H93" i="29"/>
  <c r="G93" i="29"/>
  <c r="F93" i="29"/>
  <c r="E93" i="29"/>
  <c r="D93" i="29"/>
  <c r="C93" i="29"/>
  <c r="B93" i="29"/>
  <c r="F92" i="29"/>
  <c r="E92" i="29"/>
  <c r="D92" i="29"/>
  <c r="C92" i="29"/>
  <c r="B92" i="29"/>
  <c r="H91" i="29"/>
  <c r="G91" i="29"/>
  <c r="F91" i="29"/>
  <c r="E91" i="29"/>
  <c r="D91" i="29"/>
  <c r="C91" i="29"/>
  <c r="B91" i="29"/>
  <c r="C86" i="29"/>
  <c r="B86" i="29"/>
  <c r="C85" i="29"/>
  <c r="B85" i="29"/>
  <c r="C79" i="29"/>
  <c r="B79" i="29"/>
  <c r="C76" i="29"/>
  <c r="B76" i="29"/>
  <c r="C75" i="29"/>
  <c r="B75" i="29"/>
  <c r="I54" i="29"/>
  <c r="H54" i="29"/>
  <c r="E54" i="29"/>
  <c r="D54" i="29"/>
  <c r="C54" i="29"/>
  <c r="B54" i="29"/>
  <c r="I53" i="29"/>
  <c r="H53" i="29"/>
  <c r="E53" i="29"/>
  <c r="D53" i="29"/>
  <c r="C53" i="29"/>
  <c r="B53" i="29"/>
  <c r="C47" i="29"/>
  <c r="B47" i="29"/>
  <c r="C44" i="29"/>
  <c r="B44" i="29"/>
  <c r="D43" i="29"/>
  <c r="C43" i="29"/>
  <c r="D42" i="29"/>
  <c r="C42" i="29"/>
  <c r="D41" i="29"/>
  <c r="C41" i="29"/>
  <c r="D40" i="29"/>
  <c r="C40" i="29"/>
  <c r="D39" i="29"/>
  <c r="C39" i="29"/>
  <c r="D38" i="29"/>
  <c r="C38" i="29"/>
  <c r="D37" i="29"/>
  <c r="C37" i="29"/>
  <c r="B37" i="29"/>
  <c r="D36" i="29"/>
  <c r="C36" i="29"/>
  <c r="B36" i="29"/>
  <c r="D30" i="29"/>
  <c r="C30" i="29"/>
  <c r="B30" i="29"/>
  <c r="D28" i="29"/>
  <c r="C28" i="29"/>
  <c r="B28" i="29"/>
  <c r="D27" i="29"/>
  <c r="D26" i="29"/>
  <c r="D25" i="29"/>
  <c r="D24" i="29"/>
  <c r="D23" i="29"/>
  <c r="D22" i="29"/>
  <c r="D21" i="29"/>
  <c r="C21" i="29"/>
  <c r="B21" i="29"/>
  <c r="D20" i="29"/>
  <c r="D19" i="29"/>
  <c r="D18" i="29"/>
  <c r="D17" i="29"/>
  <c r="D16" i="29"/>
  <c r="D15" i="29"/>
  <c r="D14" i="29"/>
  <c r="D13" i="29"/>
  <c r="D12" i="29"/>
  <c r="D11" i="29"/>
  <c r="C7" i="29"/>
  <c r="B7" i="29"/>
  <c r="U161" i="14"/>
  <c r="T161" i="14"/>
  <c r="S161" i="14"/>
  <c r="S143" i="14" s="1"/>
  <c r="R161" i="14"/>
  <c r="R143" i="14" s="1"/>
  <c r="Q161" i="14"/>
  <c r="P161" i="14"/>
  <c r="O161" i="14"/>
  <c r="N161" i="14"/>
  <c r="M161" i="14"/>
  <c r="L161" i="14"/>
  <c r="K161" i="14"/>
  <c r="K143" i="14" s="1"/>
  <c r="J161" i="14"/>
  <c r="J143" i="14" s="1"/>
  <c r="I161" i="14"/>
  <c r="H161" i="14"/>
  <c r="G161" i="14"/>
  <c r="F161" i="14"/>
  <c r="E161" i="14"/>
  <c r="D161" i="14"/>
  <c r="C161" i="14"/>
  <c r="C143" i="14" s="1"/>
  <c r="B161" i="14"/>
  <c r="B143" i="14" s="1"/>
  <c r="U160" i="14"/>
  <c r="U162" i="14" s="1"/>
  <c r="T160" i="14"/>
  <c r="T162" i="14" s="1"/>
  <c r="S160" i="14"/>
  <c r="S162" i="14" s="1"/>
  <c r="R160" i="14"/>
  <c r="R162" i="14" s="1"/>
  <c r="Q160" i="14"/>
  <c r="Q162" i="14" s="1"/>
  <c r="P160" i="14"/>
  <c r="P162" i="14" s="1"/>
  <c r="O160" i="14"/>
  <c r="O142" i="14" s="1"/>
  <c r="N160" i="14"/>
  <c r="N142" i="14" s="1"/>
  <c r="M160" i="14"/>
  <c r="M162" i="14" s="1"/>
  <c r="L160" i="14"/>
  <c r="L162" i="14" s="1"/>
  <c r="K160" i="14"/>
  <c r="K162" i="14" s="1"/>
  <c r="J160" i="14"/>
  <c r="J162" i="14" s="1"/>
  <c r="I160" i="14"/>
  <c r="I162" i="14" s="1"/>
  <c r="H160" i="14"/>
  <c r="H162" i="14" s="1"/>
  <c r="G160" i="14"/>
  <c r="G142" i="14" s="1"/>
  <c r="F160" i="14"/>
  <c r="F142" i="14" s="1"/>
  <c r="E160" i="14"/>
  <c r="E162" i="14" s="1"/>
  <c r="D160" i="14"/>
  <c r="D162" i="14" s="1"/>
  <c r="C160" i="14"/>
  <c r="C162" i="14" s="1"/>
  <c r="B160" i="14"/>
  <c r="B162" i="14" s="1"/>
  <c r="U157" i="14"/>
  <c r="T157" i="14"/>
  <c r="S157" i="14"/>
  <c r="R157" i="14"/>
  <c r="Q157" i="14"/>
  <c r="P157" i="14"/>
  <c r="O157" i="14"/>
  <c r="N157" i="14"/>
  <c r="M157" i="14"/>
  <c r="L157" i="14"/>
  <c r="K157" i="14"/>
  <c r="J157" i="14"/>
  <c r="I157" i="14"/>
  <c r="H157" i="14"/>
  <c r="G157" i="14"/>
  <c r="F157" i="14"/>
  <c r="E157" i="14"/>
  <c r="D157" i="14"/>
  <c r="C157" i="14"/>
  <c r="B157" i="14"/>
  <c r="U156" i="14"/>
  <c r="U158" i="14" s="1"/>
  <c r="T156" i="14"/>
  <c r="T158" i="14" s="1"/>
  <c r="S156" i="14"/>
  <c r="S158" i="14" s="1"/>
  <c r="R156" i="14"/>
  <c r="R158" i="14" s="1"/>
  <c r="Q156" i="14"/>
  <c r="Q158" i="14" s="1"/>
  <c r="P156" i="14"/>
  <c r="P158" i="14" s="1"/>
  <c r="O156" i="14"/>
  <c r="O158" i="14" s="1"/>
  <c r="N156" i="14"/>
  <c r="N158" i="14" s="1"/>
  <c r="M156" i="14"/>
  <c r="M158" i="14" s="1"/>
  <c r="L156" i="14"/>
  <c r="L158" i="14" s="1"/>
  <c r="K156" i="14"/>
  <c r="K158" i="14" s="1"/>
  <c r="J156" i="14"/>
  <c r="J158" i="14" s="1"/>
  <c r="I156" i="14"/>
  <c r="I158" i="14" s="1"/>
  <c r="H156" i="14"/>
  <c r="H158" i="14" s="1"/>
  <c r="G156" i="14"/>
  <c r="G158" i="14" s="1"/>
  <c r="F156" i="14"/>
  <c r="F158" i="14" s="1"/>
  <c r="E156" i="14"/>
  <c r="E158" i="14" s="1"/>
  <c r="D156" i="14"/>
  <c r="D158" i="14" s="1"/>
  <c r="C156" i="14"/>
  <c r="C158" i="14" s="1"/>
  <c r="B156" i="14"/>
  <c r="B158" i="14" s="1"/>
  <c r="U152" i="14"/>
  <c r="T152" i="14"/>
  <c r="S152" i="14"/>
  <c r="S141" i="14" s="1"/>
  <c r="R152" i="14"/>
  <c r="R141" i="14" s="1"/>
  <c r="Q152" i="14"/>
  <c r="P152" i="14"/>
  <c r="O152" i="14"/>
  <c r="N152" i="14"/>
  <c r="M152" i="14"/>
  <c r="L152" i="14"/>
  <c r="K152" i="14"/>
  <c r="K141" i="14" s="1"/>
  <c r="J152" i="14"/>
  <c r="J141" i="14" s="1"/>
  <c r="I152" i="14"/>
  <c r="H152" i="14"/>
  <c r="G152" i="14"/>
  <c r="F152" i="14"/>
  <c r="E152" i="14"/>
  <c r="D152" i="14"/>
  <c r="C152" i="14"/>
  <c r="C141" i="14" s="1"/>
  <c r="B152" i="14"/>
  <c r="B141" i="14" s="1"/>
  <c r="U151" i="14"/>
  <c r="U153" i="14" s="1"/>
  <c r="T151" i="14"/>
  <c r="T153" i="14" s="1"/>
  <c r="S151" i="14"/>
  <c r="S153" i="14" s="1"/>
  <c r="R151" i="14"/>
  <c r="R153" i="14" s="1"/>
  <c r="Q151" i="14"/>
  <c r="Q153" i="14" s="1"/>
  <c r="P151" i="14"/>
  <c r="P153" i="14" s="1"/>
  <c r="O151" i="14"/>
  <c r="O140" i="14" s="1"/>
  <c r="N151" i="14"/>
  <c r="N153" i="14" s="1"/>
  <c r="M151" i="14"/>
  <c r="M153" i="14" s="1"/>
  <c r="L151" i="14"/>
  <c r="L153" i="14" s="1"/>
  <c r="K151" i="14"/>
  <c r="K153" i="14" s="1"/>
  <c r="J151" i="14"/>
  <c r="J153" i="14" s="1"/>
  <c r="I151" i="14"/>
  <c r="I153" i="14" s="1"/>
  <c r="H151" i="14"/>
  <c r="H153" i="14" s="1"/>
  <c r="G151" i="14"/>
  <c r="G140" i="14" s="1"/>
  <c r="F151" i="14"/>
  <c r="F153" i="14" s="1"/>
  <c r="E151" i="14"/>
  <c r="E153" i="14" s="1"/>
  <c r="D151" i="14"/>
  <c r="D153" i="14" s="1"/>
  <c r="C151" i="14"/>
  <c r="C153" i="14" s="1"/>
  <c r="B151" i="14"/>
  <c r="B153" i="14" s="1"/>
  <c r="U148" i="14"/>
  <c r="T148" i="14"/>
  <c r="S148" i="14"/>
  <c r="R148" i="14"/>
  <c r="Q148" i="14"/>
  <c r="P148" i="14"/>
  <c r="O148" i="14"/>
  <c r="N148" i="14"/>
  <c r="M148" i="14"/>
  <c r="L148" i="14"/>
  <c r="K148" i="14"/>
  <c r="J148" i="14"/>
  <c r="I148" i="14"/>
  <c r="H148" i="14"/>
  <c r="G148" i="14"/>
  <c r="F148" i="14"/>
  <c r="E148" i="14"/>
  <c r="D148" i="14"/>
  <c r="C148" i="14"/>
  <c r="B148" i="14"/>
  <c r="U147" i="14"/>
  <c r="U149" i="14" s="1"/>
  <c r="T147" i="14"/>
  <c r="T149" i="14" s="1"/>
  <c r="S147" i="14"/>
  <c r="S149" i="14" s="1"/>
  <c r="R147" i="14"/>
  <c r="R149" i="14" s="1"/>
  <c r="Q147" i="14"/>
  <c r="Q149" i="14" s="1"/>
  <c r="P147" i="14"/>
  <c r="P149" i="14" s="1"/>
  <c r="O147" i="14"/>
  <c r="O149" i="14" s="1"/>
  <c r="N147" i="14"/>
  <c r="N149" i="14" s="1"/>
  <c r="M147" i="14"/>
  <c r="M149" i="14" s="1"/>
  <c r="L147" i="14"/>
  <c r="L149" i="14" s="1"/>
  <c r="K147" i="14"/>
  <c r="K135" i="14" s="1"/>
  <c r="J147" i="14"/>
  <c r="J135" i="14" s="1"/>
  <c r="I147" i="14"/>
  <c r="I149" i="14" s="1"/>
  <c r="H147" i="14"/>
  <c r="H149" i="14" s="1"/>
  <c r="G147" i="14"/>
  <c r="G149" i="14" s="1"/>
  <c r="F147" i="14"/>
  <c r="F149" i="14" s="1"/>
  <c r="E147" i="14"/>
  <c r="E149" i="14" s="1"/>
  <c r="D147" i="14"/>
  <c r="D149" i="14" s="1"/>
  <c r="C147" i="14"/>
  <c r="C135" i="14" s="1"/>
  <c r="B147" i="14"/>
  <c r="B135" i="14" s="1"/>
  <c r="U143" i="14"/>
  <c r="T143" i="14"/>
  <c r="Q143" i="14"/>
  <c r="P143" i="14"/>
  <c r="O143" i="14"/>
  <c r="N143" i="14"/>
  <c r="M143" i="14"/>
  <c r="L143" i="14"/>
  <c r="I143" i="14"/>
  <c r="H143" i="14"/>
  <c r="G143" i="14"/>
  <c r="F143" i="14"/>
  <c r="E143" i="14"/>
  <c r="D143" i="14"/>
  <c r="U142" i="14"/>
  <c r="T142" i="14"/>
  <c r="S142" i="14"/>
  <c r="R142" i="14"/>
  <c r="Q142" i="14"/>
  <c r="P142" i="14"/>
  <c r="M142" i="14"/>
  <c r="L142" i="14"/>
  <c r="K142" i="14"/>
  <c r="J142" i="14"/>
  <c r="I142" i="14"/>
  <c r="H142" i="14"/>
  <c r="E142" i="14"/>
  <c r="D142" i="14"/>
  <c r="C142" i="14"/>
  <c r="B142" i="14"/>
  <c r="U141" i="14"/>
  <c r="T141" i="14"/>
  <c r="Q141" i="14"/>
  <c r="P141" i="14"/>
  <c r="O141" i="14"/>
  <c r="N141" i="14"/>
  <c r="M141" i="14"/>
  <c r="L141" i="14"/>
  <c r="I141" i="14"/>
  <c r="H141" i="14"/>
  <c r="G141" i="14"/>
  <c r="F141" i="14"/>
  <c r="E141" i="14"/>
  <c r="D141" i="14"/>
  <c r="U140" i="14"/>
  <c r="T140" i="14"/>
  <c r="S140" i="14"/>
  <c r="R140" i="14"/>
  <c r="Q140" i="14"/>
  <c r="P140" i="14"/>
  <c r="M140" i="14"/>
  <c r="L140" i="14"/>
  <c r="K140" i="14"/>
  <c r="J140" i="14"/>
  <c r="I140" i="14"/>
  <c r="H140" i="14"/>
  <c r="E140" i="14"/>
  <c r="D140" i="14"/>
  <c r="C140" i="14"/>
  <c r="B140" i="14"/>
  <c r="U135" i="14"/>
  <c r="T135" i="14"/>
  <c r="Q135" i="14"/>
  <c r="P135" i="14"/>
  <c r="O135" i="14"/>
  <c r="N135" i="14"/>
  <c r="M135" i="14"/>
  <c r="L135" i="14"/>
  <c r="I135" i="14"/>
  <c r="H135" i="14"/>
  <c r="G135" i="14"/>
  <c r="F135" i="14"/>
  <c r="E135" i="14"/>
  <c r="D135" i="14"/>
  <c r="U134" i="14"/>
  <c r="T134" i="14"/>
  <c r="S134" i="14"/>
  <c r="R134" i="14"/>
  <c r="Q134" i="14"/>
  <c r="P134" i="14"/>
  <c r="M134" i="14"/>
  <c r="L134" i="14"/>
  <c r="K134" i="14"/>
  <c r="J134" i="14"/>
  <c r="I134" i="14"/>
  <c r="H134" i="14"/>
  <c r="E134" i="14"/>
  <c r="D134" i="14"/>
  <c r="C134" i="14"/>
  <c r="B134" i="14"/>
  <c r="B126" i="14"/>
  <c r="D125" i="14"/>
  <c r="C125" i="14"/>
  <c r="C126" i="14" s="1"/>
  <c r="B125" i="14"/>
  <c r="C124" i="14"/>
  <c r="B124" i="14"/>
  <c r="D124" i="14" s="1"/>
  <c r="D126" i="14" s="1"/>
  <c r="B130" i="14" s="1"/>
  <c r="C119" i="14"/>
  <c r="B119" i="14"/>
  <c r="C118" i="14"/>
  <c r="B118" i="14"/>
  <c r="C117" i="14"/>
  <c r="B117" i="14"/>
  <c r="B116" i="14"/>
  <c r="B115" i="14"/>
  <c r="B114" i="14"/>
  <c r="B113" i="14"/>
  <c r="B112" i="14"/>
  <c r="C92" i="14"/>
  <c r="C116" i="14" s="1"/>
  <c r="B92" i="14"/>
  <c r="C113" i="14" s="1"/>
  <c r="C91" i="14"/>
  <c r="C114" i="14" s="1"/>
  <c r="B91" i="14"/>
  <c r="C112" i="14" s="1"/>
  <c r="C90" i="14"/>
  <c r="B90" i="14"/>
  <c r="C89" i="14"/>
  <c r="B89" i="14"/>
  <c r="C115" i="14" s="1"/>
  <c r="B85" i="14"/>
  <c r="C84" i="14"/>
  <c r="B84" i="14"/>
  <c r="B83" i="14"/>
  <c r="B77" i="14"/>
  <c r="B78" i="14" s="1"/>
  <c r="B71" i="14"/>
  <c r="B72" i="14" s="1"/>
  <c r="B70" i="14"/>
  <c r="C59" i="14" s="1"/>
  <c r="C61" i="14" s="1"/>
  <c r="C66" i="14"/>
  <c r="B66" i="14"/>
  <c r="B65" i="14"/>
  <c r="B67" i="14" s="1"/>
  <c r="B61" i="14"/>
  <c r="C60" i="14"/>
  <c r="B76" i="14" s="1"/>
  <c r="B60" i="14"/>
  <c r="B59" i="14"/>
  <c r="B53" i="14"/>
  <c r="D51" i="14" s="1"/>
  <c r="B52" i="14"/>
  <c r="B51" i="14"/>
  <c r="B50" i="14"/>
  <c r="B46" i="14"/>
  <c r="B45" i="14"/>
  <c r="C45" i="14" s="1"/>
  <c r="B44" i="14"/>
  <c r="D50" i="14" s="1"/>
  <c r="B43" i="14"/>
  <c r="C34" i="14"/>
  <c r="C37" i="14" s="1"/>
  <c r="C38" i="14" s="1"/>
  <c r="B34" i="14"/>
  <c r="B37" i="14" s="1"/>
  <c r="B38" i="14" s="1"/>
  <c r="B13" i="14"/>
  <c r="B10" i="14"/>
  <c r="H9" i="14"/>
  <c r="G9" i="14"/>
  <c r="D9" i="14"/>
  <c r="C9" i="14"/>
  <c r="B9" i="14"/>
  <c r="H8" i="14"/>
  <c r="H10" i="14" s="1"/>
  <c r="G8" i="14"/>
  <c r="J8" i="14" s="1"/>
  <c r="D8" i="14"/>
  <c r="D10" i="14" s="1"/>
  <c r="C8" i="14"/>
  <c r="C10" i="14" s="1"/>
  <c r="C11" i="14" s="1"/>
  <c r="B8" i="14"/>
  <c r="B131" i="14" s="1"/>
  <c r="C127" i="14" l="1"/>
  <c r="B11" i="14"/>
  <c r="B127" i="14"/>
  <c r="J149" i="14"/>
  <c r="N162" i="14"/>
  <c r="C149" i="14"/>
  <c r="D53" i="14"/>
  <c r="C65" i="14"/>
  <c r="C67" i="14" s="1"/>
  <c r="B149" i="14"/>
  <c r="G153" i="14"/>
  <c r="G162" i="14"/>
  <c r="F162" i="14"/>
  <c r="K149" i="14"/>
  <c r="O153" i="14"/>
  <c r="G10" i="14"/>
  <c r="F134" i="14"/>
  <c r="N134" i="14"/>
  <c r="R135" i="14"/>
  <c r="F140" i="14"/>
  <c r="N140" i="14"/>
  <c r="O162" i="14"/>
  <c r="G134" i="14"/>
  <c r="O134" i="14"/>
  <c r="S135" i="14"/>
  <c r="B7" i="46"/>
  <c r="C7" i="46" s="1"/>
  <c r="C13" i="46" s="1"/>
  <c r="C83" i="14"/>
  <c r="C85" i="14" s="1"/>
  <c r="C11" i="46"/>
  <c r="D11" i="46" s="1"/>
  <c r="C9" i="46"/>
  <c r="D9" i="46" s="1"/>
  <c r="H64" i="46"/>
  <c r="I64" i="46" s="1"/>
  <c r="J64" i="46" s="1"/>
  <c r="K64" i="46" s="1"/>
  <c r="L64" i="46" s="1"/>
  <c r="M64" i="46" s="1"/>
  <c r="N64" i="46" s="1"/>
  <c r="O64" i="46" s="1"/>
  <c r="P64" i="46" s="1"/>
  <c r="Q64" i="46" s="1"/>
  <c r="R64" i="46" s="1"/>
  <c r="S64" i="46" s="1"/>
  <c r="T64" i="46" s="1"/>
  <c r="U64" i="46" s="1"/>
  <c r="V64" i="46" s="1"/>
  <c r="W64" i="46" s="1"/>
  <c r="X64" i="46" s="1"/>
  <c r="Y64" i="46" s="1"/>
  <c r="Y65" i="46" s="1"/>
  <c r="B24" i="46"/>
  <c r="B28" i="46" s="1"/>
  <c r="B37" i="46" s="1"/>
  <c r="W95" i="46"/>
  <c r="W96" i="46"/>
  <c r="G92" i="46"/>
  <c r="B32" i="46" l="1"/>
  <c r="Z64" i="46"/>
  <c r="Z66" i="46" s="1"/>
  <c r="Z67" i="46" s="1"/>
  <c r="Z69" i="46" s="1"/>
  <c r="D7" i="46"/>
  <c r="D13" i="46" s="1"/>
  <c r="B33" i="46" s="1"/>
  <c r="B34" i="46" s="1"/>
  <c r="W97" i="46"/>
  <c r="W98" i="46" s="1"/>
  <c r="C94" i="46" s="1"/>
  <c r="Y66" i="46"/>
  <c r="Y67" i="46" s="1"/>
  <c r="Y69" i="46" s="1"/>
  <c r="X65" i="46"/>
  <c r="B29" i="46" l="1"/>
  <c r="B38" i="46" s="1"/>
  <c r="B39" i="46" s="1"/>
  <c r="X66" i="46"/>
  <c r="X67" i="46" s="1"/>
  <c r="X69" i="46" s="1"/>
  <c r="G72" i="46" s="1"/>
  <c r="W65" i="46"/>
  <c r="W66" i="46" l="1"/>
  <c r="W67" i="46" s="1"/>
  <c r="W69" i="46" s="1"/>
  <c r="V65" i="46"/>
  <c r="U65" i="46" l="1"/>
  <c r="V66" i="46"/>
  <c r="V67" i="46" s="1"/>
  <c r="V69" i="46" s="1"/>
  <c r="T65" i="46" l="1"/>
  <c r="U66" i="46"/>
  <c r="U67" i="46" s="1"/>
  <c r="U69" i="46" s="1"/>
  <c r="S65" i="46" l="1"/>
  <c r="T66" i="46"/>
  <c r="T67" i="46" s="1"/>
  <c r="T69" i="46" s="1"/>
  <c r="R65" i="46" l="1"/>
  <c r="S66" i="46"/>
  <c r="S67" i="46" s="1"/>
  <c r="S69" i="46" s="1"/>
  <c r="Q65" i="46" l="1"/>
  <c r="R66" i="46"/>
  <c r="R67" i="46" s="1"/>
  <c r="R69" i="46" s="1"/>
  <c r="Q66" i="46" l="1"/>
  <c r="Q67" i="46" s="1"/>
  <c r="Q69" i="46" s="1"/>
  <c r="P65" i="46"/>
  <c r="P66" i="46" l="1"/>
  <c r="P67" i="46" s="1"/>
  <c r="P69" i="46" s="1"/>
  <c r="O65" i="46"/>
  <c r="O66" i="46" l="1"/>
  <c r="O67" i="46" s="1"/>
  <c r="O69" i="46" s="1"/>
  <c r="N65" i="46"/>
  <c r="M65" i="46" l="1"/>
  <c r="N66" i="46"/>
  <c r="N67" i="46" s="1"/>
  <c r="N69" i="46" s="1"/>
  <c r="L65" i="46" l="1"/>
  <c r="M66" i="46"/>
  <c r="M67" i="46" s="1"/>
  <c r="M69" i="46" s="1"/>
  <c r="K65" i="46" l="1"/>
  <c r="L66" i="46"/>
  <c r="L67" i="46" s="1"/>
  <c r="L69" i="46" s="1"/>
  <c r="J65" i="46" l="1"/>
  <c r="K66" i="46"/>
  <c r="K67" i="46" s="1"/>
  <c r="K69" i="46" s="1"/>
  <c r="I65" i="46" l="1"/>
  <c r="J66" i="46"/>
  <c r="J67" i="46" s="1"/>
  <c r="J69" i="46" s="1"/>
  <c r="I66" i="46" l="1"/>
  <c r="I67" i="46" s="1"/>
  <c r="I69" i="46" s="1"/>
  <c r="H65" i="46"/>
  <c r="H66" i="46" l="1"/>
  <c r="H67" i="46" s="1"/>
  <c r="H69" i="46" s="1"/>
  <c r="G65" i="46"/>
  <c r="G66" i="46" l="1"/>
  <c r="G67" i="46" s="1"/>
  <c r="G69" i="46" s="1"/>
  <c r="E72" i="46" s="1"/>
  <c r="I72" i="46" s="1"/>
  <c r="B53" i="46" s="1"/>
  <c r="F65" i="46"/>
  <c r="F66" i="46" s="1"/>
  <c r="F67" i="46" s="1"/>
  <c r="F69" i="46" s="1"/>
</calcChain>
</file>

<file path=xl/sharedStrings.xml><?xml version="1.0" encoding="utf-8"?>
<sst xmlns="http://schemas.openxmlformats.org/spreadsheetml/2006/main" count="3404" uniqueCount="992">
  <si>
    <t>1998</t>
  </si>
  <si>
    <t>1999</t>
  </si>
  <si>
    <t>2000</t>
  </si>
  <si>
    <t>2001</t>
  </si>
  <si>
    <t>2002</t>
  </si>
  <si>
    <t>2003</t>
  </si>
  <si>
    <t>2004</t>
  </si>
  <si>
    <t>2005</t>
  </si>
  <si>
    <t>2006</t>
  </si>
  <si>
    <t>2007</t>
  </si>
  <si>
    <t>2008</t>
  </si>
  <si>
    <t>2009</t>
  </si>
  <si>
    <t>2010</t>
  </si>
  <si>
    <t>2011</t>
  </si>
  <si>
    <t>2012</t>
  </si>
  <si>
    <t>2013</t>
  </si>
  <si>
    <t>2014</t>
  </si>
  <si>
    <t>2015</t>
  </si>
  <si>
    <t>2016</t>
  </si>
  <si>
    <t>P5IM</t>
  </si>
  <si>
    <t>P48U</t>
  </si>
  <si>
    <t>P47K</t>
  </si>
  <si>
    <t>P5HC</t>
  </si>
  <si>
    <t>P3JO</t>
  </si>
  <si>
    <t>P4TG</t>
  </si>
  <si>
    <t>Balance in EU Pharma</t>
  </si>
  <si>
    <t>Balance in Non EU Pharama</t>
  </si>
  <si>
    <t>P48E</t>
  </si>
  <si>
    <t>P3KI</t>
  </si>
  <si>
    <t>P5I6</t>
  </si>
  <si>
    <t>P4UA</t>
  </si>
  <si>
    <t xml:space="preserve">Balance </t>
  </si>
  <si>
    <t>P48N</t>
  </si>
  <si>
    <t>P3KR</t>
  </si>
  <si>
    <t>Balance</t>
  </si>
  <si>
    <t>P5IF</t>
  </si>
  <si>
    <t>P4UJ</t>
  </si>
  <si>
    <t>P3KY</t>
  </si>
  <si>
    <t>P4UQ</t>
  </si>
  <si>
    <t>P493</t>
  </si>
  <si>
    <t>P3L7</t>
  </si>
  <si>
    <t>P5IT</t>
  </si>
  <si>
    <t>P4UX</t>
  </si>
  <si>
    <t>EU Exports</t>
  </si>
  <si>
    <t>EU Imports</t>
  </si>
  <si>
    <t>Non-EU Exports</t>
  </si>
  <si>
    <t>EU Balance</t>
  </si>
  <si>
    <t>Non-EU Balance</t>
  </si>
  <si>
    <t>Year</t>
  </si>
  <si>
    <t>Exports to EU  28 Machinery &amp; equipment n.e.c.</t>
  </si>
  <si>
    <t>Exports to EU  29.1 Motor vehicles</t>
  </si>
  <si>
    <t>Imports from EU 29.1 Motor vehicles</t>
  </si>
  <si>
    <t>Exports to Non-EU</t>
  </si>
  <si>
    <t>Imports from Non-EU  29.1 Motor vehicles</t>
  </si>
  <si>
    <t>Imports from EU 28 Machinery &amp; equipment n.e.c.</t>
  </si>
  <si>
    <t xml:space="preserve">Imports from Non-EU </t>
  </si>
  <si>
    <t xml:space="preserve"> Exports to EU </t>
  </si>
  <si>
    <t>EU Balance Balance</t>
  </si>
  <si>
    <t>Imports from EU</t>
  </si>
  <si>
    <t>Imports from Non-EU</t>
  </si>
  <si>
    <t>Exports to EU</t>
  </si>
  <si>
    <t>Imports From EU</t>
  </si>
  <si>
    <t xml:space="preserve">Exports to Non-EU </t>
  </si>
  <si>
    <t>Total Exports</t>
  </si>
  <si>
    <t>Non-EU</t>
  </si>
  <si>
    <t xml:space="preserve"> EU</t>
  </si>
  <si>
    <r>
      <t xml:space="preserve">EU Exports </t>
    </r>
    <r>
      <rPr>
        <sz val="10"/>
        <rFont val="Arial"/>
        <family val="2"/>
      </rPr>
      <t>(</t>
    </r>
    <r>
      <rPr>
        <sz val="10"/>
        <rFont val="Calibri"/>
        <family val="2"/>
      </rPr>
      <t>£ million)</t>
    </r>
  </si>
  <si>
    <r>
      <t xml:space="preserve">EU Imports </t>
    </r>
    <r>
      <rPr>
        <sz val="10"/>
        <rFont val="Arial"/>
        <family val="2"/>
      </rPr>
      <t>(£ million)</t>
    </r>
  </si>
  <si>
    <r>
      <t xml:space="preserve">Non-EU Exports </t>
    </r>
    <r>
      <rPr>
        <sz val="10"/>
        <rFont val="Arial"/>
        <family val="2"/>
      </rPr>
      <t>(£ million)</t>
    </r>
  </si>
  <si>
    <r>
      <t xml:space="preserve">Non-EU Imports </t>
    </r>
    <r>
      <rPr>
        <sz val="10"/>
        <rFont val="Arial"/>
        <family val="2"/>
      </rPr>
      <t>(£ million)</t>
    </r>
  </si>
  <si>
    <t>EU Average Exports</t>
  </si>
  <si>
    <t xml:space="preserve">EU Average Imports </t>
  </si>
  <si>
    <t xml:space="preserve">Non-EU Average Exports </t>
  </si>
  <si>
    <t xml:space="preserve">Non-EU Average Imports  </t>
  </si>
  <si>
    <t>Growth %</t>
  </si>
  <si>
    <t>P496</t>
  </si>
  <si>
    <t>P3LA</t>
  </si>
  <si>
    <t>P5IW</t>
  </si>
  <si>
    <t>P4V2</t>
  </si>
  <si>
    <t>P2U5</t>
  </si>
  <si>
    <t>P45V</t>
  </si>
  <si>
    <t>P3HZ</t>
  </si>
  <si>
    <t>P5FN</t>
  </si>
  <si>
    <t>P4RR</t>
  </si>
  <si>
    <t xml:space="preserve">Exports </t>
  </si>
  <si>
    <t>P289</t>
  </si>
  <si>
    <t>Imports</t>
  </si>
  <si>
    <t>All Manufacturing</t>
  </si>
  <si>
    <t>Other</t>
  </si>
  <si>
    <t>UK</t>
  </si>
  <si>
    <t>Germany</t>
  </si>
  <si>
    <t>France</t>
  </si>
  <si>
    <t xml:space="preserve">Italy </t>
  </si>
  <si>
    <t>Spain</t>
  </si>
  <si>
    <t>Code</t>
  </si>
  <si>
    <t xml:space="preserve"> Non-EU</t>
  </si>
  <si>
    <t>Exports</t>
  </si>
  <si>
    <t>Non-EU Imports</t>
  </si>
  <si>
    <t>P476</t>
  </si>
  <si>
    <t>P3JA</t>
  </si>
  <si>
    <t>P5GW</t>
  </si>
  <si>
    <t>P4T2</t>
  </si>
  <si>
    <t>c</t>
  </si>
  <si>
    <t>Total manufactured goods</t>
  </si>
  <si>
    <t>P2TE</t>
  </si>
  <si>
    <t>P2TF</t>
  </si>
  <si>
    <t>P2TQ</t>
  </si>
  <si>
    <t>P2XV</t>
  </si>
  <si>
    <t>P2XZ</t>
  </si>
  <si>
    <t>P2Y8</t>
  </si>
  <si>
    <t>P2YK</t>
  </si>
  <si>
    <t>P2YP</t>
  </si>
  <si>
    <t>TOTAL EXPORTS</t>
  </si>
  <si>
    <t>Top 7 Manufacturing Categories</t>
  </si>
  <si>
    <t>1. Motor Vehicles</t>
  </si>
  <si>
    <t>4. Pharmaceuticals</t>
  </si>
  <si>
    <t>5. Chemicals</t>
  </si>
  <si>
    <t>6. Computers, electronic &amp; optical products</t>
  </si>
  <si>
    <t>All Current prices, seasonally adjusted, in millions of pounds</t>
  </si>
  <si>
    <t>Products of agriculture, forestry &amp; fishing</t>
  </si>
  <si>
    <t>Mining &amp; quarrying</t>
  </si>
  <si>
    <t>Manufactured products</t>
  </si>
  <si>
    <t>Electricity, gas, steam &amp; air conditioning</t>
  </si>
  <si>
    <t>Water supply, sewerage &amp; waste management</t>
  </si>
  <si>
    <t>Information &amp; communication services</t>
  </si>
  <si>
    <t>Arts, entertainment &amp; recreation</t>
  </si>
  <si>
    <t>Other services</t>
  </si>
  <si>
    <t xml:space="preserve"> 2016 (bn)</t>
  </si>
  <si>
    <t xml:space="preserve">1998 (bn) </t>
  </si>
  <si>
    <t>Value (bn)</t>
  </si>
  <si>
    <t>3. Machinery</t>
  </si>
  <si>
    <t xml:space="preserve">2. Non-Motor Vehicles: Other Transport Equipment </t>
  </si>
  <si>
    <t>2014-2016 £bn</t>
  </si>
  <si>
    <t xml:space="preserve">Non-EU </t>
  </si>
  <si>
    <t>Suspected Errata.</t>
  </si>
  <si>
    <t>This is a rogue figure. Adding the components for this category, the number is  20445</t>
  </si>
  <si>
    <t xml:space="preserve">UK Office for National Statistics </t>
  </si>
  <si>
    <t>EU</t>
  </si>
  <si>
    <t>Travel</t>
  </si>
  <si>
    <t>Construction</t>
  </si>
  <si>
    <t>P27I</t>
  </si>
  <si>
    <t>TOTAL IMPORTS</t>
  </si>
  <si>
    <t>UK Good Exports 1998 to 2016</t>
  </si>
  <si>
    <t>£ billion</t>
  </si>
  <si>
    <t>Trade in Goods</t>
  </si>
  <si>
    <t>Trade in Services</t>
  </si>
  <si>
    <t>Total Trade</t>
  </si>
  <si>
    <t>Export of Goods</t>
  </si>
  <si>
    <t>Export of Services</t>
  </si>
  <si>
    <t xml:space="preserve"> </t>
  </si>
  <si>
    <t xml:space="preserve">  </t>
  </si>
  <si>
    <t>UK Trade in Goods &amp; Services</t>
  </si>
  <si>
    <t xml:space="preserve">Total Trade in Goods </t>
  </si>
  <si>
    <t xml:space="preserve">Total Trade in Services </t>
  </si>
  <si>
    <t xml:space="preserve">Export of Goods </t>
  </si>
  <si>
    <t xml:space="preserve">Export of Services </t>
  </si>
  <si>
    <t>Deficit</t>
  </si>
  <si>
    <t>Surplus</t>
  </si>
  <si>
    <t>Comparison of Exports in Goods &amp; Services</t>
  </si>
  <si>
    <t>P456</t>
  </si>
  <si>
    <t>P3HA</t>
  </si>
  <si>
    <t>UK - non-EU Trade</t>
  </si>
  <si>
    <t>UK - EU Trade</t>
  </si>
  <si>
    <t>Total goods exports to EU</t>
  </si>
  <si>
    <t>Total goods imports from EU</t>
  </si>
  <si>
    <t>P5EW</t>
  </si>
  <si>
    <t>P4R2</t>
  </si>
  <si>
    <t xml:space="preserve">Total goods exports to Non-EU </t>
  </si>
  <si>
    <t>Total goods imports from Non-EU</t>
  </si>
  <si>
    <t>Goods Export/ Categories</t>
  </si>
  <si>
    <t>Section 2. Manufacturing data</t>
  </si>
  <si>
    <t>Section 1. Goods data</t>
  </si>
  <si>
    <t xml:space="preserve">Total </t>
  </si>
  <si>
    <t>1) Growth in exports</t>
  </si>
  <si>
    <t>2) Balance of Trade</t>
  </si>
  <si>
    <t xml:space="preserve">UK Trade in Goods </t>
  </si>
  <si>
    <t xml:space="preserve">5. Chemicals </t>
  </si>
  <si>
    <t>UK Manufacturing Trade Data: 1998 to 2016</t>
  </si>
  <si>
    <t>Growth in UK Trade: EU &amp; non-EU</t>
  </si>
  <si>
    <t>Source</t>
  </si>
  <si>
    <r>
      <t>Compound Annual Growth 1998</t>
    </r>
    <r>
      <rPr>
        <b/>
        <sz val="11"/>
        <color theme="1"/>
        <rFont val="Calibri"/>
        <family val="2"/>
      </rPr>
      <t>–2016</t>
    </r>
  </si>
  <si>
    <t>Change in EU's share of UK Trade in Goods</t>
  </si>
  <si>
    <r>
      <t>UK - EU Trade (</t>
    </r>
    <r>
      <rPr>
        <b/>
        <sz val="10"/>
        <rFont val="Calibri"/>
        <family val="2"/>
      </rPr>
      <t>£m)</t>
    </r>
  </si>
  <si>
    <r>
      <t>UK - non-EU Trade (</t>
    </r>
    <r>
      <rPr>
        <b/>
        <sz val="10"/>
        <rFont val="Calibri"/>
        <family val="2"/>
      </rPr>
      <t>£</t>
    </r>
    <r>
      <rPr>
        <b/>
        <sz val="9"/>
        <rFont val="Arial"/>
        <family val="2"/>
      </rPr>
      <t>m)</t>
    </r>
  </si>
  <si>
    <t>Total for UK Goods Exports</t>
  </si>
  <si>
    <t>Composition of UK Goods Exports</t>
  </si>
  <si>
    <r>
      <t xml:space="preserve">1998-2000   </t>
    </r>
    <r>
      <rPr>
        <b/>
        <sz val="11"/>
        <color theme="1"/>
        <rFont val="Calibri"/>
        <family val="2"/>
      </rPr>
      <t>£bn</t>
    </r>
  </si>
  <si>
    <r>
      <t xml:space="preserve">Growth </t>
    </r>
    <r>
      <rPr>
        <b/>
        <sz val="11"/>
        <color theme="1"/>
        <rFont val="Calibri"/>
        <family val="2"/>
      </rPr>
      <t>£bn</t>
    </r>
  </si>
  <si>
    <t>Top 5 Sectors</t>
  </si>
  <si>
    <t>Percentage of exports</t>
  </si>
  <si>
    <t>Export Categories in UK Trade (£ bn)</t>
  </si>
  <si>
    <t>Manufacturing as a % of UK's goods exports</t>
  </si>
  <si>
    <r>
      <t xml:space="preserve">Overall Growth of UK Manufacutring Trade:      1998 </t>
    </r>
    <r>
      <rPr>
        <b/>
        <sz val="11"/>
        <color theme="1"/>
        <rFont val="Calibri"/>
        <family val="2"/>
      </rPr>
      <t>–</t>
    </r>
    <r>
      <rPr>
        <b/>
        <sz val="11"/>
        <color theme="1"/>
        <rFont val="Calibri"/>
        <family val="2"/>
        <scheme val="minor"/>
      </rPr>
      <t xml:space="preserve"> 2016</t>
    </r>
  </si>
  <si>
    <t>Total</t>
  </si>
  <si>
    <t>2. Transport</t>
  </si>
  <si>
    <t>CAGR             1998-2016</t>
  </si>
  <si>
    <r>
      <t>Goods exports to EU (</t>
    </r>
    <r>
      <rPr>
        <b/>
        <sz val="10"/>
        <rFont val="Calibri"/>
        <family val="2"/>
      </rPr>
      <t xml:space="preserve">£ </t>
    </r>
    <r>
      <rPr>
        <b/>
        <sz val="10"/>
        <rFont val="Arial"/>
        <family val="2"/>
      </rPr>
      <t>billion)</t>
    </r>
  </si>
  <si>
    <r>
      <t>Goods exports to Non-EU (</t>
    </r>
    <r>
      <rPr>
        <b/>
        <sz val="10"/>
        <rFont val="Calibri"/>
        <family val="2"/>
      </rPr>
      <t>£</t>
    </r>
    <r>
      <rPr>
        <b/>
        <sz val="10"/>
        <rFont val="Arial"/>
        <family val="2"/>
      </rPr>
      <t xml:space="preserve"> billion)</t>
    </r>
  </si>
  <si>
    <r>
      <t>UK - non-EU Trade (</t>
    </r>
    <r>
      <rPr>
        <b/>
        <sz val="10"/>
        <rFont val="Calibri"/>
        <family val="2"/>
      </rPr>
      <t>£ billion</t>
    </r>
    <r>
      <rPr>
        <b/>
        <sz val="9"/>
        <rFont val="Arial"/>
        <family val="2"/>
      </rPr>
      <t>)</t>
    </r>
  </si>
  <si>
    <r>
      <t>UK - EU Trade (</t>
    </r>
    <r>
      <rPr>
        <b/>
        <sz val="10"/>
        <rFont val="Calibri"/>
        <family val="2"/>
      </rPr>
      <t>£ billion)</t>
    </r>
  </si>
  <si>
    <t>Source Data</t>
  </si>
  <si>
    <r>
      <t xml:space="preserve">EU Exports </t>
    </r>
    <r>
      <rPr>
        <sz val="10"/>
        <rFont val="Arial"/>
        <family val="2"/>
      </rPr>
      <t>(</t>
    </r>
    <r>
      <rPr>
        <sz val="10"/>
        <rFont val="Calibri"/>
        <family val="2"/>
      </rPr>
      <t>£</t>
    </r>
    <r>
      <rPr>
        <sz val="10"/>
        <rFont val="Arial"/>
        <family val="2"/>
      </rPr>
      <t xml:space="preserve"> billion</t>
    </r>
    <r>
      <rPr>
        <sz val="10"/>
        <rFont val="Calibri"/>
        <family val="2"/>
      </rPr>
      <t>)</t>
    </r>
  </si>
  <si>
    <r>
      <t>EU Imports</t>
    </r>
    <r>
      <rPr>
        <sz val="10"/>
        <rFont val="Arial"/>
        <family val="2"/>
      </rPr>
      <t xml:space="preserve"> (</t>
    </r>
    <r>
      <rPr>
        <sz val="10"/>
        <rFont val="Calibri"/>
        <family val="2"/>
      </rPr>
      <t>£</t>
    </r>
    <r>
      <rPr>
        <sz val="10"/>
        <rFont val="Arial"/>
        <family val="2"/>
      </rPr>
      <t xml:space="preserve"> billion)</t>
    </r>
  </si>
  <si>
    <r>
      <t xml:space="preserve">Non-EU Exports </t>
    </r>
    <r>
      <rPr>
        <sz val="10"/>
        <rFont val="Arial"/>
        <family val="2"/>
      </rPr>
      <t>(£ billion)</t>
    </r>
  </si>
  <si>
    <r>
      <t xml:space="preserve">Non-EU Imports </t>
    </r>
    <r>
      <rPr>
        <sz val="10"/>
        <rFont val="Arial"/>
        <family val="2"/>
      </rPr>
      <t>(£ billion)</t>
    </r>
  </si>
  <si>
    <t>Destination for exports</t>
  </si>
  <si>
    <t>Source of imports</t>
  </si>
  <si>
    <t>6. Computers, electronics etc.</t>
  </si>
  <si>
    <t>6. Computers, electronics, etc.</t>
  </si>
  <si>
    <r>
      <t>Goods balance (</t>
    </r>
    <r>
      <rPr>
        <sz val="11"/>
        <color theme="1"/>
        <rFont val="Calibri"/>
        <family val="2"/>
      </rPr>
      <t>£bn)</t>
    </r>
  </si>
  <si>
    <t>Services balance (£bn)</t>
  </si>
  <si>
    <r>
      <t>Growth in UK Trade: EU &amp; non-EU (</t>
    </r>
    <r>
      <rPr>
        <b/>
        <sz val="11"/>
        <color theme="1"/>
        <rFont val="Calibri"/>
        <family val="2"/>
      </rPr>
      <t>£ bn)</t>
    </r>
  </si>
  <si>
    <t>Additional Data</t>
  </si>
  <si>
    <t>Long-Term Economic Growth Rates</t>
  </si>
  <si>
    <t>Trading Economics</t>
  </si>
  <si>
    <t>Total Exports     £ bn</t>
  </si>
  <si>
    <r>
      <t xml:space="preserve">Total Trade      </t>
    </r>
    <r>
      <rPr>
        <b/>
        <sz val="11"/>
        <color theme="1"/>
        <rFont val="Calibri"/>
        <family val="2"/>
      </rPr>
      <t>£ bn</t>
    </r>
  </si>
  <si>
    <t/>
  </si>
  <si>
    <t>Notes</t>
  </si>
  <si>
    <t>Unit</t>
  </si>
  <si>
    <t>£ billion, seasonally adjusted</t>
  </si>
  <si>
    <t>Period</t>
  </si>
  <si>
    <t>2007 Q1</t>
  </si>
  <si>
    <t>21.973</t>
  </si>
  <si>
    <t>33.87</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</si>
  <si>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</si>
  <si>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</si>
  <si>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</si>
  <si>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</si>
  <si>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</si>
  <si>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</si>
  <si>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</si>
  <si>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</si>
  <si>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</si>
  <si>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</si>
  <si>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</si>
  <si>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</si>
  <si>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</si>
  <si>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</si>
  <si>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</si>
  <si>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</si>
  <si>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</si>
  <si>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</si>
  <si>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</si>
  <si>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</si>
  <si>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</si>
  <si>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</si>
  <si>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</si>
  <si>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</si>
  <si>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</si>
  <si>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</si>
  <si>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</si>
  <si>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</si>
  <si>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</si>
  <si>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</si>
  <si>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</si>
  <si>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</si>
  <si>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</si>
  <si>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</si>
  <si>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</si>
  <si>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</si>
  <si>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</si>
  <si>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</si>
  <si>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</si>
  <si>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Supplementary Data</t>
  </si>
  <si>
    <t>Link</t>
  </si>
  <si>
    <t xml:space="preserve">Source: ONS 2016 data*. Original Data sheets included at final tabs </t>
  </si>
  <si>
    <t>*Note</t>
  </si>
  <si>
    <t>The single data file from which all trade-in-goods data is compiled was archive by ONS during larte 2017, and is no longer directly accessible. A copy of these original files as published by ONS is included in the final tabs of this Excel spreadsheet.</t>
  </si>
  <si>
    <t>Source: Eurostat</t>
  </si>
  <si>
    <t>Quarterly (%)</t>
  </si>
  <si>
    <t>Annual (%)</t>
  </si>
  <si>
    <t>/</t>
  </si>
  <si>
    <t>Average UK Growth Rate 1956 to 2017</t>
  </si>
  <si>
    <t>% Export/Import Ratios for major EU economies</t>
  </si>
  <si>
    <t>Section 5. Comparison of UK intra-EU trade performance with other EU economies</t>
  </si>
  <si>
    <t>3.2 Change in UK trade partnership with EU for manufactured goods</t>
  </si>
  <si>
    <t>3.1 Long-term growth in UK  manufacturing trade with EU and non-EU countries</t>
  </si>
  <si>
    <r>
      <t>Section 4. Evolution of UK's trade in manufacturing with EU and non-EU countries: 1998</t>
    </r>
    <r>
      <rPr>
        <b/>
        <sz val="14"/>
        <color theme="1"/>
        <rFont val="Calibri"/>
        <family val="2"/>
      </rPr>
      <t>–2016</t>
    </r>
  </si>
  <si>
    <t>Manufacturing exports to EU (£ billion)</t>
  </si>
  <si>
    <t>Manufacturing exports to non-EU (£ billion)</t>
  </si>
  <si>
    <t xml:space="preserve">Section3. Growth in EU, non-EU trade in manufactured goods: 1998 – 2016
</t>
  </si>
  <si>
    <t>Compound Annual Growth Rates (CAGR)</t>
  </si>
  <si>
    <t xml:space="preserve">Change in composition </t>
  </si>
  <si>
    <t>Section 5. UK manufacturing trade data: 1998 to 2016 (ONS)</t>
  </si>
  <si>
    <t xml:space="preserve">1. Motor vehicles </t>
  </si>
  <si>
    <t>Section 1: UK goods exports &amp; prominence of manufactured goods</t>
  </si>
  <si>
    <t>% total of goods exports</t>
  </si>
  <si>
    <t>% total of manufacture exports</t>
  </si>
  <si>
    <t>% of total of manufacture exports</t>
  </si>
  <si>
    <t>3.3 Calculation of annual growth</t>
  </si>
  <si>
    <t>10 Food products</t>
  </si>
  <si>
    <t>P45W</t>
  </si>
  <si>
    <t>P3I2</t>
  </si>
  <si>
    <t>P5FO</t>
  </si>
  <si>
    <t>P4RS</t>
  </si>
  <si>
    <t>Exports to non-EU</t>
  </si>
  <si>
    <t>Imports from non-EU</t>
  </si>
  <si>
    <t>7. Basic metals</t>
  </si>
  <si>
    <t>9. Electrical</t>
  </si>
  <si>
    <t>10. Beverages</t>
  </si>
  <si>
    <t>8. Food products</t>
  </si>
  <si>
    <t>P47Z</t>
  </si>
  <si>
    <t>P3K5</t>
  </si>
  <si>
    <t>P5HR</t>
  </si>
  <si>
    <t>P4TV</t>
  </si>
  <si>
    <t>8. Food Products</t>
  </si>
  <si>
    <t>9. Electrical Equipment</t>
  </si>
  <si>
    <t>P468</t>
  </si>
  <si>
    <t>P3IC</t>
  </si>
  <si>
    <t>P5FY</t>
  </si>
  <si>
    <t>P4S4</t>
  </si>
  <si>
    <t>Top 10 Sectors</t>
  </si>
  <si>
    <r>
      <rPr>
        <b/>
        <sz val="11"/>
        <color theme="1"/>
        <rFont val="Calibri"/>
        <family val="2"/>
        <scheme val="minor"/>
      </rPr>
      <t>Note 1:</t>
    </r>
    <r>
      <rPr>
        <sz val="11"/>
        <color theme="1"/>
        <rFont val="Calibri"/>
        <family val="2"/>
        <scheme val="minor"/>
      </rPr>
      <t xml:space="preserve"> The top five categories of UK exports analysed here comprise 50% of all UK goods exports, up from 41% two decades ago. The top ten categories increase the coverage to 73% of all UK goods exports.  </t>
    </r>
  </si>
  <si>
    <r>
      <rPr>
        <b/>
        <sz val="11"/>
        <color theme="1"/>
        <rFont val="Calibri"/>
        <family val="2"/>
        <scheme val="minor"/>
      </rPr>
      <t>Note 2.</t>
    </r>
    <r>
      <rPr>
        <sz val="11"/>
        <color theme="1"/>
        <rFont val="Calibri"/>
        <family val="2"/>
        <scheme val="minor"/>
      </rPr>
      <t xml:space="preserve"> The biggest change in the distribution of UK exports from 1998 to 2016 is the collapse of UK exports of computers, electronics, etc. to the EU since 2002 (from </t>
    </r>
    <r>
      <rPr>
        <sz val="11"/>
        <color theme="1"/>
        <rFont val="Calibri"/>
        <family val="2"/>
      </rPr>
      <t xml:space="preserve">£27 billion to £12). The biggest sector gain is the growth in export of transport equiment (which is almost entirely aerospace products) followed by the growth in export in motor vehicles, then pharmaceuticals. </t>
    </r>
  </si>
  <si>
    <t>Services exports to EU (£ billion)</t>
  </si>
  <si>
    <t>Services exports to non-EU (£ billion)</t>
  </si>
  <si>
    <t>Transportation</t>
  </si>
  <si>
    <t>Financial services</t>
  </si>
  <si>
    <t>World</t>
  </si>
  <si>
    <t>Intellectual property</t>
  </si>
  <si>
    <t>Export Categories in UK Services (£ bn)</t>
  </si>
  <si>
    <t>Total for UK Services Exports</t>
  </si>
  <si>
    <t>Total EU Imports  £ bn</t>
  </si>
  <si>
    <t>Total non-EU Imports  £ bn</t>
  </si>
  <si>
    <t>Total EU Exports  £ bn</t>
  </si>
  <si>
    <t>Total non-EU Exports  £ bn</t>
  </si>
  <si>
    <t xml:space="preserve">Total for UK Services </t>
  </si>
  <si>
    <t xml:space="preserve"> Trade in services by type of service 2016</t>
  </si>
  <si>
    <t xml:space="preserve"> £ million</t>
  </si>
  <si>
    <t>Telecom-</t>
  </si>
  <si>
    <t>municati-</t>
  </si>
  <si>
    <t>ons, com-</t>
  </si>
  <si>
    <t xml:space="preserve"> Personal,</t>
  </si>
  <si>
    <t>puter and</t>
  </si>
  <si>
    <t xml:space="preserve"> Other</t>
  </si>
  <si>
    <t xml:space="preserve"> cultural</t>
  </si>
  <si>
    <t>Manufac-</t>
  </si>
  <si>
    <t>Mainten-</t>
  </si>
  <si>
    <t xml:space="preserve"> Trans-</t>
  </si>
  <si>
    <t xml:space="preserve"> Insu-</t>
  </si>
  <si>
    <t>Intellect-</t>
  </si>
  <si>
    <t>informat-</t>
  </si>
  <si>
    <t xml:space="preserve"> busi-</t>
  </si>
  <si>
    <t xml:space="preserve"> and</t>
  </si>
  <si>
    <t>turing</t>
  </si>
  <si>
    <t xml:space="preserve">ance and </t>
  </si>
  <si>
    <t xml:space="preserve"> port-</t>
  </si>
  <si>
    <t xml:space="preserve"> Cons-</t>
  </si>
  <si>
    <t xml:space="preserve"> rance &amp;</t>
  </si>
  <si>
    <t xml:space="preserve"> Finan-</t>
  </si>
  <si>
    <t xml:space="preserve">ual </t>
  </si>
  <si>
    <t>ion servi-</t>
  </si>
  <si>
    <t xml:space="preserve"> ness</t>
  </si>
  <si>
    <t xml:space="preserve"> recrea-</t>
  </si>
  <si>
    <t xml:space="preserve"> Govern-</t>
  </si>
  <si>
    <t xml:space="preserve"> Total</t>
  </si>
  <si>
    <t>services</t>
  </si>
  <si>
    <t>repair</t>
  </si>
  <si>
    <t xml:space="preserve"> ation</t>
  </si>
  <si>
    <t xml:space="preserve"> truction</t>
  </si>
  <si>
    <t>Pension</t>
  </si>
  <si>
    <t xml:space="preserve"> cial</t>
  </si>
  <si>
    <t>Property</t>
  </si>
  <si>
    <t>ces</t>
  </si>
  <si>
    <t xml:space="preserve"> services</t>
  </si>
  <si>
    <t xml:space="preserve"> tional</t>
  </si>
  <si>
    <t xml:space="preserve"> ment</t>
  </si>
  <si>
    <t>European Union (EU28) total</t>
  </si>
  <si>
    <t>..</t>
  </si>
  <si>
    <t>Belgium</t>
  </si>
  <si>
    <t>Luxembourg</t>
  </si>
  <si>
    <t>Denmark</t>
  </si>
  <si>
    <t>Irish Republic</t>
  </si>
  <si>
    <t>Italy</t>
  </si>
  <si>
    <t>Netherlands</t>
  </si>
  <si>
    <t>Sweden</t>
  </si>
  <si>
    <t>Poland</t>
  </si>
  <si>
    <t>Finland</t>
  </si>
  <si>
    <t>Portugal</t>
  </si>
  <si>
    <t>Greece</t>
  </si>
  <si>
    <t>Austria</t>
  </si>
  <si>
    <t>Czech Republic</t>
  </si>
  <si>
    <t>Estonia</t>
  </si>
  <si>
    <t>Hungary</t>
  </si>
  <si>
    <t>Latvia</t>
  </si>
  <si>
    <t>Slovakia</t>
  </si>
  <si>
    <t>Slovenia</t>
  </si>
  <si>
    <t>Russia</t>
  </si>
  <si>
    <t>Switzerland</t>
  </si>
  <si>
    <t>Turkey</t>
  </si>
  <si>
    <t>Argentina</t>
  </si>
  <si>
    <t>Brazil</t>
  </si>
  <si>
    <t>Canada</t>
  </si>
  <si>
    <t>Chile</t>
  </si>
  <si>
    <t>Mexico</t>
  </si>
  <si>
    <t>USA</t>
  </si>
  <si>
    <t>China</t>
  </si>
  <si>
    <t>Hong Kong</t>
  </si>
  <si>
    <t>India</t>
  </si>
  <si>
    <t>Iran</t>
  </si>
  <si>
    <t>Japan</t>
  </si>
  <si>
    <t>Malaysia</t>
  </si>
  <si>
    <t>Philippines</t>
  </si>
  <si>
    <t>Saudi Arabia</t>
  </si>
  <si>
    <t>Singapore</t>
  </si>
  <si>
    <t>South Korea</t>
  </si>
  <si>
    <t>Taiwan</t>
  </si>
  <si>
    <t>Thailand</t>
  </si>
  <si>
    <t>Australia</t>
  </si>
  <si>
    <t>South Africa</t>
  </si>
  <si>
    <t>Israel</t>
  </si>
  <si>
    <t>Iceland</t>
  </si>
  <si>
    <t>New Zealand</t>
  </si>
  <si>
    <t>Norway</t>
  </si>
  <si>
    <t>World total</t>
  </si>
  <si>
    <t xml:space="preserve"> Symbols used in this table  </t>
  </si>
  <si>
    <t xml:space="preserve">  .. Indicates that data might be disclosive and have therefore  been omitted</t>
  </si>
  <si>
    <t xml:space="preserve">  - Indicates that the data is nil or less than £500,000</t>
  </si>
  <si>
    <t>ONS March 2018</t>
  </si>
  <si>
    <t>Section 2. Relative importance of financial services exports to EU</t>
  </si>
  <si>
    <t>UK Trade in Manufactured Goods</t>
  </si>
  <si>
    <t xml:space="preserve">Non-Manufacturing Exports </t>
  </si>
  <si>
    <t xml:space="preserve">Total Goods Exports </t>
  </si>
  <si>
    <t xml:space="preserve">Total Manufacturing Exports </t>
  </si>
  <si>
    <t>Other manufactured</t>
  </si>
  <si>
    <t xml:space="preserve">Section 1: UK goods exports </t>
  </si>
  <si>
    <t>Non-Manufactured goods</t>
  </si>
  <si>
    <t>Average Exports 1998-2000 (£bn)</t>
  </si>
  <si>
    <t>Average Exports 2014-2016 (£bn)</t>
  </si>
  <si>
    <r>
      <t xml:space="preserve">2.1 Export Category Share: change in contribution to UK manufacturing &amp; goods exports, 1998 </t>
    </r>
    <r>
      <rPr>
        <b/>
        <sz val="12"/>
        <color theme="1"/>
        <rFont val="Calibri"/>
        <family val="2"/>
      </rPr>
      <t>– 2016</t>
    </r>
  </si>
  <si>
    <t>Percentage</t>
  </si>
  <si>
    <t xml:space="preserve">Total Services Trade </t>
  </si>
  <si>
    <t xml:space="preserve">UK Trade in Services </t>
  </si>
  <si>
    <t xml:space="preserve">Total Services Exports </t>
  </si>
  <si>
    <t>Services imports from EU (£ billion)</t>
  </si>
  <si>
    <r>
      <t>Services imports from non-EU</t>
    </r>
    <r>
      <rPr>
        <sz val="10"/>
        <rFont val="Arial"/>
        <family val="2"/>
      </rPr>
      <t>(£ billion)</t>
    </r>
  </si>
  <si>
    <t>Growth in UK exports</t>
  </si>
  <si>
    <t>Goods to EU</t>
  </si>
  <si>
    <t>Growth in UK imports</t>
  </si>
  <si>
    <t>Services from non-EU</t>
  </si>
  <si>
    <t>Services from EU</t>
  </si>
  <si>
    <t>Goods from non-EU</t>
  </si>
  <si>
    <t>Goods from EU</t>
  </si>
  <si>
    <t>Export Categories in UK Manufacturing (£ bn) 2016</t>
  </si>
  <si>
    <t>non-EU</t>
  </si>
  <si>
    <r>
      <t>Categores &lt;</t>
    </r>
    <r>
      <rPr>
        <sz val="8"/>
        <rFont val="Calibri"/>
        <family val="2"/>
      </rPr>
      <t>£100m omitted</t>
    </r>
    <r>
      <rPr>
        <sz val="8"/>
        <rFont val="Calibri"/>
        <family val="2"/>
        <scheme val="minor"/>
      </rPr>
      <t>, e.g., architectural drawings</t>
    </r>
  </si>
  <si>
    <t>Motor vehicles</t>
  </si>
  <si>
    <t>Transport equipmany (inc. aerospace)</t>
  </si>
  <si>
    <t>Machinery</t>
  </si>
  <si>
    <t>Pharmaceuticals</t>
  </si>
  <si>
    <t>Chemicals</t>
  </si>
  <si>
    <t>Other manufactured products</t>
  </si>
  <si>
    <t>Computers, electronics, optical etc.</t>
  </si>
  <si>
    <t>Basic metals</t>
  </si>
  <si>
    <t>Food products</t>
  </si>
  <si>
    <t>Electrical goods</t>
  </si>
  <si>
    <t>Beverages</t>
  </si>
  <si>
    <r>
      <t>Goods (</t>
    </r>
    <r>
      <rPr>
        <sz val="11"/>
        <color theme="1"/>
        <rFont val="Calibri"/>
        <family val="2"/>
      </rPr>
      <t>£bn)</t>
    </r>
  </si>
  <si>
    <t>Section 1. Comparison of EU &amp; non-EU trade</t>
  </si>
  <si>
    <t>Deflator</t>
  </si>
  <si>
    <t>Multiplier</t>
  </si>
  <si>
    <t>(This table uses non-inflation adjusted prices).</t>
  </si>
  <si>
    <t>Adjusted for inflation</t>
  </si>
  <si>
    <t>Note: This section uses data adjusted for inflation. Hence the higher estimates at the beginning of the time period..Averages calculated from three-year periods at start and end of data run period. See calculation table below.</t>
  </si>
  <si>
    <t>Section 7. Adjustment for Inflation</t>
  </si>
  <si>
    <t>Note: Data not adjusted for inflation</t>
  </si>
  <si>
    <t>Section 2. Most valuable sectors of UK manufacturing trade: 1998 and 2016</t>
  </si>
  <si>
    <t>Note: Some financial services, e.g., banking, are subject to Single Market regulation and passporting rights. Few non-financial services are.</t>
  </si>
  <si>
    <t>Average Imports 1998-2000 (£bn)</t>
  </si>
  <si>
    <t>Average Imports 2014-2016 (£bn)</t>
  </si>
  <si>
    <t>Balance of trade in services with EU</t>
  </si>
  <si>
    <t>Section 3. Balance of trade in services</t>
  </si>
  <si>
    <t>Total Imports £ bn</t>
  </si>
  <si>
    <t>4.1 Long-term growth in UK  manufacturing trade with EU and non-EU countries</t>
  </si>
  <si>
    <t>4.2 Change in UK trade partnership with EU for manufactured goods</t>
  </si>
  <si>
    <t>4.3 Calculation of annual growth</t>
  </si>
  <si>
    <r>
      <t xml:space="preserve">1999-2001   </t>
    </r>
    <r>
      <rPr>
        <b/>
        <sz val="11"/>
        <color theme="1"/>
        <rFont val="Calibri"/>
        <family val="2"/>
      </rPr>
      <t>£bn</t>
    </r>
  </si>
  <si>
    <t>Worth £271 billion in 2016, manufacturing contributes 90% of UK goods exports. This exceeds the value of UK's services exports, worth £245 bn in 2016. The UK's top five manufacturing export sectors ‒ motor vehicles, transport (princially aerospace), machinery, pharmaceuticals and chemicals ‒ are increasingly important to UK trade, rising from 41% of UK goods exports in 1998 to 50% in 2016. Growth is almost totally confined to non-EU trade, however. Accounting for inflation, exports to EU countries have remained stagnant or fallen since 1998, while exports to non-EU countries have increased by a steady 3.3% per year. Consequently, UK exports outside the EU ‒ conducted almost entirely on WTO terms ‒ surpassed EU exports in 2012, rising from 39% of total manufacturing exports in 1998 to 53% in 2016. The biggest sectoral change in UK trade since 1998 is that exports of computers and electronics to the EU have collapsed by almost two-thirds. The best performing sector for UK trade with EU is pharmaceuticals; however pharmaceuticals exports to EU stalled in 2012 as production moved to Ireland, and UK now incurs an annual £9.6 billion deficit on this trade (see 'Pharmaceuticals' tab).£</t>
  </si>
  <si>
    <t xml:space="preserve">ONS Cross-check to validate source data. </t>
  </si>
  <si>
    <t>© Phil Radford</t>
  </si>
  <si>
    <t>Import deflator</t>
  </si>
  <si>
    <t>Export deflator</t>
  </si>
  <si>
    <t>Import Multiplier</t>
  </si>
  <si>
    <t>Export Multiplier</t>
  </si>
  <si>
    <t>ONS Import and Export Trade deflators, 2015 base prices</t>
  </si>
  <si>
    <t xml:space="preserve">This deflator serides is from the ONS and is specifically calculated for trade values. It ascribes a lower level of inflation generally, but especially to imports. It uses 2015 as a base year, which is why 2016 values are lower than in the core data series. </t>
  </si>
  <si>
    <t>UK Treasury Deflators (Not used)</t>
  </si>
  <si>
    <t xml:space="preserve">Exports of Goods and Services </t>
  </si>
  <si>
    <t xml:space="preserve">Imports of Goods and Services </t>
  </si>
  <si>
    <t xml:space="preserve">Exports of Goods </t>
  </si>
  <si>
    <t>Imports of Goods</t>
  </si>
  <si>
    <t>Import of Services</t>
  </si>
  <si>
    <t>Additional Calculations</t>
  </si>
  <si>
    <t>UK Balance of Trade in Goods and Services 2017</t>
  </si>
  <si>
    <t>US-China 2017</t>
  </si>
  <si>
    <t>Services Exports to China</t>
  </si>
  <si>
    <t>Services Imports from China</t>
  </si>
  <si>
    <t>Services Balance with China</t>
  </si>
  <si>
    <t>US Goods Exports to China</t>
  </si>
  <si>
    <t>US Goods Imports from China</t>
  </si>
  <si>
    <t>United States Censis</t>
  </si>
  <si>
    <t>US $</t>
  </si>
  <si>
    <t>£ bn</t>
  </si>
  <si>
    <t>$ bn</t>
  </si>
  <si>
    <r>
      <t>US</t>
    </r>
    <r>
      <rPr>
        <sz val="11"/>
        <color theme="1"/>
        <rFont val="Calibri"/>
        <family val="2"/>
      </rPr>
      <t>‒</t>
    </r>
    <r>
      <rPr>
        <sz val="11"/>
        <color theme="1"/>
        <rFont val="Calibri"/>
        <family val="2"/>
        <scheme val="minor"/>
      </rPr>
      <t xml:space="preserve">China </t>
    </r>
  </si>
  <si>
    <t>US-China Balance of Trade in Goods and Services 2017</t>
  </si>
  <si>
    <t>US$ bn</t>
  </si>
  <si>
    <t>Comparative Deficits</t>
  </si>
  <si>
    <t>Adjusted for GDP</t>
  </si>
  <si>
    <t>Source Economist Pocket World of Figures 2018</t>
  </si>
  <si>
    <t xml:space="preserve">GDP Gross US$ bn </t>
  </si>
  <si>
    <t>(Note: Typo on p.24. These aren't 2015 values)</t>
  </si>
  <si>
    <t>Population</t>
  </si>
  <si>
    <t xml:space="preserve">US$ </t>
  </si>
  <si>
    <t xml:space="preserve">Standard Treasury Deflator (for reference) </t>
  </si>
  <si>
    <t xml:space="preserve">Original data was in current prices. This deflator series is from the UK Treasury. March 2018. The effect of switching to a standard GDP deflator is to reduce growth rates; imports more than exports. </t>
  </si>
  <si>
    <t>Trade deficit per person</t>
  </si>
  <si>
    <r>
      <t>UK</t>
    </r>
    <r>
      <rPr>
        <sz val="11"/>
        <color theme="1"/>
        <rFont val="Calibri"/>
        <family val="2"/>
      </rPr>
      <t>‒EU</t>
    </r>
  </si>
  <si>
    <t>Goods Balance with China</t>
  </si>
  <si>
    <t>Alt Balance of Payments Data</t>
  </si>
  <si>
    <t xml:space="preserve">Imports EU </t>
  </si>
  <si>
    <t>29th March 2018</t>
  </si>
  <si>
    <t>UK Total Trade 2017: Goods</t>
  </si>
  <si>
    <t>UK Total Trade 2017: Services</t>
  </si>
  <si>
    <t>2017</t>
  </si>
  <si>
    <t xml:space="preserve">US deficit with China </t>
  </si>
  <si>
    <r>
      <t xml:space="preserve">UK deficit with </t>
    </r>
    <r>
      <rPr>
        <sz val="11"/>
        <color theme="1"/>
        <rFont val="Calibri"/>
        <family val="2"/>
      </rPr>
      <t>EU</t>
    </r>
  </si>
  <si>
    <t>This data is taken from a second series of data published by ONS in March 2018. Links provided below. Data is adjuted for inflation using  ONS deflators for imports and exports (they are slightly different).  Averages are calculated from three-year periods at the start and end of data run period. See calculation table below. The deflator works on a 2015 base price. See Section 5 below. Using a standard UK Treasury deflator has the effect of raising annual growth rates by 0.2‒0.3%.</t>
  </si>
  <si>
    <t>Note: This time series uses a different ONS data set to that from which 2016 data are compiled. While the data for EU conforms closely, the data for non-EU services trade in the below analysis suggests higher exports to non-EU countries. However, the purpose of Section 3 is to analyse and compare long-term growth rates.</t>
  </si>
  <si>
    <t>(EU Imports revisions from 1999)</t>
  </si>
  <si>
    <t>Non-Manufactured poducts</t>
  </si>
  <si>
    <t xml:space="preserve">  Products of agriculture, forestry &amp; fishing</t>
  </si>
  <si>
    <t xml:space="preserve">  Mining &amp; quarrying</t>
  </si>
  <si>
    <t xml:space="preserve">  Electricity, gas, steam &amp; air conditioning</t>
  </si>
  <si>
    <t xml:space="preserve">  Water supply, sewerage &amp; waste management</t>
  </si>
  <si>
    <t xml:space="preserve">  Information &amp; communication services</t>
  </si>
  <si>
    <t xml:space="preserve">  Arts, entertainment &amp; recreation</t>
  </si>
  <si>
    <t>Total Serfices exports</t>
  </si>
  <si>
    <t>Services to non-EU countries</t>
  </si>
  <si>
    <t xml:space="preserve">Services to EU </t>
  </si>
  <si>
    <t>Goods to non-EU countries</t>
  </si>
  <si>
    <t>Current data matches up to 2012</t>
  </si>
  <si>
    <t xml:space="preserve">Data is marginally revised up tp 2014, then, curiously, is revised up by 6.2 bn, 2.9 bn, and 2.1 bn. This would have the effect of raising the value of EU imports 2014-16 by 1.6% over the values used for sectoral breakdowns. </t>
  </si>
  <si>
    <t>Variance</t>
  </si>
  <si>
    <t>Imp</t>
  </si>
  <si>
    <t>Exp</t>
  </si>
  <si>
    <t>Data is identical up to 2013, and then revised marginally up to 2014, when it is raised by approximately 3%</t>
  </si>
  <si>
    <t>% VAR</t>
  </si>
  <si>
    <t>%VAR</t>
  </si>
  <si>
    <t>Current data is slightly higher up to 2009, then slightly lower, then lowered by 1.6% from 2014 to 2016</t>
  </si>
  <si>
    <t>Averages</t>
  </si>
  <si>
    <t>Multipliers</t>
  </si>
  <si>
    <t>EXP</t>
  </si>
  <si>
    <t>IMP</t>
  </si>
  <si>
    <t>Adjusted for inflation, and the variances to totals published in March 2018 (see Core Data-Goods). Also, data adjusted for variances in March 2018 published data for years 2014-16. See Core Data Goods.</t>
  </si>
  <si>
    <t>Last three years adjusted data</t>
  </si>
  <si>
    <t xml:space="preserve">This series adjusts the data to reflect the 2017 revisions to data. It is a best estimate. </t>
  </si>
  <si>
    <t>Note: Different import/export deflators take account of currency variations, and are probably a better guide to historic import and export values than, e.g. the standard deflator below. However, they do result in misleading values for trade imbalances in any given year. Consequently, using original core data for trade deficits or surpluses (plus a single deflator) is more instructive.</t>
  </si>
  <si>
    <t>Section 1: Current Prices, seasonally adjusted. Section 2 onwards: data adjusted for inflation, using ONS trade deflators for imports and exports, 2015 base prices (see Section 7 below). Note, this sheet uses a sectoral breakdown published by ONS in 2017. Since then, ONS has revised up some EU export values for the period 2014-16, with other minor adjustments (See Core Data Services). However, the funcion of this sheet is to analyse the relative size of UK's principal goods export sectors. Updates for individual sectors will be published if that data become available, although unless the variations are attributable to only a few sectors (as opposed to across the board) then the changes in CAGR are unlikely to exceed 0.2-0.3%. However, in the interests of best attainable accuracy, the revisions have been interpolated into the overall manufacturing CAGR calculations (see notes/calculations in lines 145 to 154).</t>
  </si>
  <si>
    <r>
      <t xml:space="preserve">Published 2017: Note: this data set is no longer available on the ONS website, however it is the only data set which allows analysts to break down the constituents of UK manufacturing data in one data set back to 1998. In March 2018, ONS republished its totals for exports and imports, back to 1999. For the most part, adjustments were minor up until 2014. For the years 2014 to 2016, the effect of the adjustments is to raise  the values of trade with the EU - for exports by 3.1% and imports by 1.7%, and to decrease the value of trade with non-EU countries - for exports by 1.6% and imports by 0.8%. It is of note that without the sudden increases in trade values reported for 2017  (possibly due to the decrease in Sterling) and the adjustments made in 2014-16 data, the effect, generally is to reduce EU export growth rates for most manufacturing sectors by approximately 0.2-0.3% per annum. Curiously, this original 2017-published data for UK to EU Exports for 2014-2016 tracks HMRC data for that period more closely than the updated data, in terms of UK exports to the EU. It appears that in early 2018, the ONS uncovered approximately </t>
    </r>
    <r>
      <rPr>
        <sz val="11"/>
        <rFont val="Calibri"/>
        <family val="2"/>
      </rPr>
      <t>£13.5 billion in exports to EU for the period 2014-16 that were previously missed by both customs and its own initial data collection.</t>
    </r>
  </si>
  <si>
    <t>Mining &amp; quarrying (Inc. crude oil &amp; gas)</t>
  </si>
  <si>
    <t>Percentage of exports 2017</t>
  </si>
  <si>
    <t>1998 - 2007</t>
  </si>
  <si>
    <t xml:space="preserve">Sources: ONS </t>
  </si>
  <si>
    <r>
      <rPr>
        <b/>
        <sz val="11"/>
        <color theme="1"/>
        <rFont val="Calibri"/>
        <family val="2"/>
        <scheme val="minor"/>
      </rPr>
      <t>Note</t>
    </r>
    <r>
      <rPr>
        <sz val="11"/>
        <color theme="1"/>
        <rFont val="Calibri"/>
        <family val="2"/>
        <scheme val="minor"/>
      </rPr>
      <t xml:space="preserve">: Although CAGR calculations indicate that exports have risen sonce 1998, the growth was principally confined to the first decade. Consequently, in real prices, exports in 2008 </t>
    </r>
    <r>
      <rPr>
        <sz val="11"/>
        <color theme="1"/>
        <rFont val="Calibri"/>
        <family val="2"/>
      </rPr>
      <t>‒</t>
    </r>
    <r>
      <rPr>
        <sz val="11"/>
        <color theme="1"/>
        <rFont val="Calibri"/>
        <family val="2"/>
        <scheme val="minor"/>
      </rPr>
      <t xml:space="preserve"> 2017 were lower (</t>
    </r>
    <r>
      <rPr>
        <sz val="11"/>
        <color theme="1"/>
        <rFont val="Calibri"/>
        <family val="2"/>
      </rPr>
      <t>£144.7 bn) than in 1998 ‒ 2007 (£145.6). This means UK goods exports to EU are stagnant.</t>
    </r>
    <r>
      <rPr>
        <sz val="11"/>
        <color theme="1"/>
        <rFont val="Calibri"/>
        <family val="2"/>
        <scheme val="minor"/>
      </rPr>
      <t xml:space="preserve"> This can readily be seen from the graph below, which shows that currently, UK goods exports to EU have not regained the value achieved in 2006, just before the financial crisis. In contrast exports to goods outside the EU are 43% higher than in 2006.</t>
    </r>
  </si>
  <si>
    <t>Goods: Non-EU</t>
  </si>
  <si>
    <t>Goods: EU</t>
  </si>
  <si>
    <t>Services: Non-EU</t>
  </si>
  <si>
    <t>Services: EU</t>
  </si>
  <si>
    <t>The result is a neat verdict on the past 20 years of UK trade within the Customs Union and Single Market. Clearly, the worst-performing sector in all UK trade – UK goods exports to the EU – is precisely that sector where the Customs Union and Single Market have greatest impact. While UK goods exports to EU rose in advance of the global financial crisis (GFC), imports always rose faster. Consequently, a trading relationship that was in balance 20 years ago, is now delivering thumping deficits. These deficits</t>
  </si>
  <si>
    <t>Average value</t>
  </si>
  <si>
    <t>EU Goods Exports (bn)</t>
  </si>
  <si>
    <t>Working Data</t>
  </si>
  <si>
    <t>The following are working data from previously published data sets.</t>
  </si>
  <si>
    <t>Average</t>
  </si>
  <si>
    <t>Productivity</t>
  </si>
  <si>
    <t>ONS</t>
  </si>
  <si>
    <t>Census</t>
  </si>
  <si>
    <t>Export Price Index</t>
  </si>
  <si>
    <t>US Bureau of Labour Statistics</t>
  </si>
  <si>
    <t>July % increase on year earlier.</t>
  </si>
  <si>
    <t>Modifier</t>
  </si>
  <si>
    <t>US Exports to EU ($ bn)</t>
  </si>
  <si>
    <t>CAGR</t>
  </si>
  <si>
    <t xml:space="preserve">US Goods Exports to EU </t>
  </si>
  <si>
    <t>UK Goods Exports to EU</t>
  </si>
  <si>
    <t xml:space="preserve">UK Productivity </t>
  </si>
  <si>
    <t>Eurozone GDP*</t>
  </si>
  <si>
    <t>Comparative Growth Rates</t>
  </si>
  <si>
    <t>*1995 to 2018</t>
  </si>
  <si>
    <t>Section 9. Other Comparative Annual Growth Data</t>
  </si>
  <si>
    <t>Base Price</t>
  </si>
  <si>
    <t>Yr to July Variation</t>
  </si>
  <si>
    <t>Re-base to 2017 prices</t>
  </si>
  <si>
    <t>Price Change Data</t>
  </si>
  <si>
    <t>Bureau of Labour Stats</t>
  </si>
  <si>
    <t>US-EU Exports ($bn)</t>
  </si>
  <si>
    <t>Annual export price change (July to July)</t>
  </si>
  <si>
    <t>Deflator to 2017 prices</t>
  </si>
  <si>
    <t>Reeal Prices US exports (2017 $bn)</t>
  </si>
  <si>
    <t>US Census/Labour Bureau</t>
  </si>
  <si>
    <t>Value</t>
  </si>
  <si>
    <t>Calculations for Line 2</t>
  </si>
  <si>
    <t>Calculations for Line 4</t>
  </si>
  <si>
    <t>UK Economic Growth Rate (Year on Year)</t>
  </si>
  <si>
    <t>Jan</t>
  </si>
  <si>
    <t>US Sterling Exchange Rate</t>
  </si>
  <si>
    <t>Feb</t>
  </si>
  <si>
    <t>Mar</t>
  </si>
  <si>
    <t xml:space="preserve">High </t>
  </si>
  <si>
    <t>Low</t>
  </si>
  <si>
    <t>Apr</t>
  </si>
  <si>
    <t>May</t>
  </si>
  <si>
    <t>Jun</t>
  </si>
  <si>
    <t>Jul</t>
  </si>
  <si>
    <t>Aug</t>
  </si>
  <si>
    <t>Sep</t>
  </si>
  <si>
    <t>Oct</t>
  </si>
  <si>
    <t>Nov</t>
  </si>
  <si>
    <t>Dec</t>
  </si>
  <si>
    <t>Yearly Average</t>
  </si>
  <si>
    <t>Mean of High/Low</t>
  </si>
  <si>
    <t>Goods Exports in UK Pounds (Nominal)</t>
  </si>
  <si>
    <t>UK Nominal EU Goods Exports (1000)</t>
  </si>
  <si>
    <r>
      <t xml:space="preserve">UK Nominal EU Goods Exports </t>
    </r>
    <r>
      <rPr>
        <sz val="11"/>
        <color theme="1"/>
        <rFont val="Calibri"/>
        <family val="2"/>
      </rPr>
      <t>£</t>
    </r>
    <r>
      <rPr>
        <sz val="9.9"/>
        <color theme="1"/>
        <rFont val="Calibri"/>
        <family val="2"/>
      </rPr>
      <t>bn</t>
    </r>
  </si>
  <si>
    <t>US Nominal Goods Exports $ bn</t>
  </si>
  <si>
    <r>
      <t>Nominal US Exports to EU in current year exchange rates (</t>
    </r>
    <r>
      <rPr>
        <sz val="11"/>
        <color theme="1"/>
        <rFont val="Calibri"/>
        <family val="2"/>
      </rPr>
      <t>£</t>
    </r>
    <r>
      <rPr>
        <sz val="9.9"/>
        <color theme="1"/>
        <rFont val="Calibri"/>
        <family val="2"/>
      </rPr>
      <t>bn)</t>
    </r>
  </si>
  <si>
    <r>
      <rPr>
        <b/>
        <sz val="11"/>
        <color theme="1"/>
        <rFont val="Calibri"/>
        <family val="2"/>
        <scheme val="minor"/>
      </rPr>
      <t>Note:</t>
    </r>
    <r>
      <rPr>
        <sz val="11"/>
        <color theme="1"/>
        <rFont val="Calibri"/>
        <family val="2"/>
        <scheme val="minor"/>
      </rPr>
      <t xml:space="preserve"> not possible to use export deflators as they take account of exchange rates anyway...</t>
    </r>
  </si>
  <si>
    <r>
      <t>UK-EU Goods Exports (</t>
    </r>
    <r>
      <rPr>
        <sz val="11"/>
        <color theme="1"/>
        <rFont val="Calibri"/>
        <family val="2"/>
      </rPr>
      <t>£</t>
    </r>
    <r>
      <rPr>
        <sz val="9.9"/>
        <color theme="1"/>
        <rFont val="Calibri"/>
        <family val="2"/>
      </rPr>
      <t>bn Nominal)</t>
    </r>
  </si>
  <si>
    <t>US-EU Goods Exports (£bn Nominal)</t>
  </si>
  <si>
    <t>UK Exports to EU</t>
  </si>
  <si>
    <t>US Exports to EU</t>
  </si>
  <si>
    <t>Section 10. UK Economic Growth Rate, and US Comparisons of goods export growth to EU</t>
  </si>
  <si>
    <t>UK Average</t>
  </si>
  <si>
    <t>US Average</t>
  </si>
  <si>
    <t>Difference</t>
  </si>
  <si>
    <t>% difference UK</t>
  </si>
  <si>
    <t>2.1 Long-term growth in UK Trade with EU and non-EU countries</t>
  </si>
  <si>
    <t>Section 3: Change in UK trade partnership with EU for goods</t>
  </si>
  <si>
    <t>Section 7: Deflators</t>
  </si>
  <si>
    <t>Section 8: UK-EU and US-China Deficit Comparison</t>
  </si>
  <si>
    <t>Exchange rate (Average of mean high and mean low)</t>
  </si>
  <si>
    <t>Section 2. Governance of UK Trade: EU, WTO and Bilateral Agreements</t>
  </si>
  <si>
    <t>% EU</t>
  </si>
  <si>
    <t>% Non-EU</t>
  </si>
  <si>
    <t>Three-year Average</t>
  </si>
  <si>
    <t>UK Goods</t>
  </si>
  <si>
    <t>UK Services</t>
  </si>
  <si>
    <t>Source for ETA/Bilateral treaty data: Burrage, It's Quite OK to Walk Away.</t>
  </si>
  <si>
    <t>Proportions of Trade</t>
  </si>
  <si>
    <r>
      <t>Compound Annual Growth Rate (CAGR)  1998</t>
    </r>
    <r>
      <rPr>
        <b/>
        <sz val="11"/>
        <color theme="1"/>
        <rFont val="Calibri"/>
        <family val="2"/>
      </rPr>
      <t>–2017</t>
    </r>
  </si>
  <si>
    <t>Proportion of non-EU trade subject to WTO rules</t>
  </si>
  <si>
    <t>Manufacturing</t>
  </si>
  <si>
    <t>Random calculations</t>
  </si>
  <si>
    <t>Non-averaged CAGR</t>
  </si>
  <si>
    <t xml:space="preserve">Is also misleading, since the outstanding fact of UK to EU goods exports is that still no higher than in 2006. </t>
  </si>
  <si>
    <t>Section 11</t>
  </si>
  <si>
    <t>Even if include only the low 1998 value, and only the 2017, post-devaluation boom year, you still get a CAGR of 0.71% per year. This is still slower than productivity CAGR, Eurzone growth, and 1/3 of US, though US would be far higher if calculated this way.</t>
  </si>
  <si>
    <t>Validity</t>
  </si>
  <si>
    <t>Title</t>
  </si>
  <si>
    <t>Release date</t>
  </si>
  <si>
    <t>28-09-2018</t>
  </si>
  <si>
    <t>Next release</t>
  </si>
  <si>
    <t>21 December 2018</t>
  </si>
  <si>
    <t>Value in Curret Prices</t>
  </si>
  <si>
    <t>Release, 28th September 1998</t>
  </si>
  <si>
    <t>Release 28th September 2018</t>
  </si>
  <si>
    <t xml:space="preserve">EU Imports </t>
  </si>
  <si>
    <t>Trade in Services Current Prices</t>
  </si>
  <si>
    <t xml:space="preserve">Trade in services </t>
  </si>
  <si>
    <r>
      <t>Value in Current Prices (</t>
    </r>
    <r>
      <rPr>
        <b/>
        <sz val="11"/>
        <color theme="1"/>
        <rFont val="Calibri"/>
        <family val="2"/>
      </rPr>
      <t xml:space="preserve">£ </t>
    </r>
    <r>
      <rPr>
        <b/>
        <sz val="11"/>
        <color theme="1"/>
        <rFont val="Calibri"/>
        <family val="2"/>
        <scheme val="minor"/>
      </rPr>
      <t>billions)</t>
    </r>
  </si>
  <si>
    <r>
      <t xml:space="preserve">Note. In its September Release, ONS raised its estaimte of Exports to EU by approximately </t>
    </r>
    <r>
      <rPr>
        <sz val="11"/>
        <color theme="1"/>
        <rFont val="Calibri"/>
        <family val="2"/>
      </rPr>
      <t>£</t>
    </r>
    <r>
      <rPr>
        <sz val="11"/>
        <color theme="1"/>
        <rFont val="Calibri"/>
        <family val="2"/>
        <scheme val="minor"/>
      </rPr>
      <t xml:space="preserve">10 </t>
    </r>
    <r>
      <rPr>
        <sz val="9.9"/>
        <color theme="1"/>
        <rFont val="Calibri"/>
        <family val="2"/>
      </rPr>
      <t>billion</t>
    </r>
  </si>
  <si>
    <r>
      <t xml:space="preserve">Note: In its September 2018 Release, ONS lowered its estaimate of exports to non-EU countries by approximately </t>
    </r>
    <r>
      <rPr>
        <sz val="11"/>
        <color theme="1"/>
        <rFont val="Calibri"/>
        <family val="2"/>
      </rPr>
      <t>£</t>
    </r>
    <r>
      <rPr>
        <sz val="9.9"/>
        <color theme="1"/>
        <rFont val="Calibri"/>
        <family val="2"/>
      </rPr>
      <t>10 billion</t>
    </r>
  </si>
  <si>
    <t>Sources: Office for National Statistics (ONS)</t>
  </si>
  <si>
    <t>(Links in U188 to U194)</t>
  </si>
  <si>
    <t>* I am indebted to Michael Burrage (It's Quite OK to Walk Away) for the data enabling this calculation. See Tab 1 (All Trade), Section 2</t>
  </si>
  <si>
    <t>Two-way EU Trade</t>
  </si>
  <si>
    <t>Overall balance (£bn)</t>
  </si>
  <si>
    <t>Original Data; Current Prices</t>
  </si>
  <si>
    <t>EU-Negotiated Trade Agreements</t>
  </si>
  <si>
    <t>European Free Trade Association</t>
  </si>
  <si>
    <t>World Trade Organisation</t>
  </si>
  <si>
    <t xml:space="preserve">EU </t>
  </si>
  <si>
    <t>Historic trade data: 1999 to 2018</t>
  </si>
  <si>
    <t>Composition of UK Trade in Services: 2018</t>
  </si>
  <si>
    <t>ONS Import and Export Trade deflators, 2016 base prices</t>
  </si>
  <si>
    <t xml:space="preserve">This deflator serides is from the ONS and is specifically calculated for trade values. It ascribes a lower level of inflation generally as compared to UK Treasury deflators, and especially to imports. It uses 2016 as a base year, which is why adjusted 2017 and 2018 values are lower than in the core data series. </t>
  </si>
  <si>
    <t>2018</t>
  </si>
  <si>
    <t>Section 4: Evolution of EU versus Non-EU trade, 1998 - 2018</t>
  </si>
  <si>
    <t>Note: Data adjusted for inflation; 2016 prices</t>
  </si>
  <si>
    <t>2016-2018 £bn</t>
  </si>
  <si>
    <t>Average Exports 2016-18</t>
  </si>
  <si>
    <t>Average Imports 2016-18</t>
  </si>
  <si>
    <t>Overall % Growth: 1998-2018</t>
  </si>
  <si>
    <t>Note: this section switches to inflation-adjusted data with 2016 as the base year, hence the end series values are lower than in current-price data. Growth rates calculated from three-year averages at the beginning and end of the time series. ONS Deflators for exports and imports at lines 191-195.</t>
  </si>
  <si>
    <t>2009 - 2018</t>
  </si>
  <si>
    <t>Export Categories in UK Trade (£ bn): 2018</t>
  </si>
  <si>
    <t>Average yearlY value: 2009 - 2018 (£ bn)</t>
  </si>
  <si>
    <t>Average Exports 1999-2001</t>
  </si>
  <si>
    <t>Average Imports 1999-2001</t>
  </si>
  <si>
    <r>
      <t xml:space="preserve">Growth 1999-2018 </t>
    </r>
    <r>
      <rPr>
        <b/>
        <sz val="11"/>
        <color theme="1"/>
        <rFont val="Calibri"/>
        <family val="2"/>
      </rPr>
      <t>£bn</t>
    </r>
  </si>
  <si>
    <r>
      <t>Average yearly value: 1999 - 2007 (</t>
    </r>
    <r>
      <rPr>
        <b/>
        <sz val="11"/>
        <color theme="1"/>
        <rFont val="Calibri"/>
        <family val="2"/>
      </rPr>
      <t>£ bn)</t>
    </r>
  </si>
  <si>
    <t>Growth in trade data (Real prices; 2016 base)</t>
  </si>
  <si>
    <r>
      <t xml:space="preserve">Data for growth rates: 1999 </t>
    </r>
    <r>
      <rPr>
        <b/>
        <sz val="11"/>
        <color theme="1"/>
        <rFont val="Calibri"/>
        <family val="2"/>
      </rPr>
      <t>– 2018</t>
    </r>
  </si>
  <si>
    <r>
      <t xml:space="preserve">Average Value 1999-2001    </t>
    </r>
    <r>
      <rPr>
        <b/>
        <sz val="11"/>
        <color theme="1"/>
        <rFont val="Calibri"/>
        <family val="2"/>
      </rPr>
      <t>£bn</t>
    </r>
  </si>
  <si>
    <t>Average Value 2016-2018 £bn</t>
  </si>
  <si>
    <t>Growth 1999-2018 %</t>
  </si>
  <si>
    <t>Cross check</t>
  </si>
  <si>
    <t>Office of the President of United States</t>
  </si>
  <si>
    <r>
      <t xml:space="preserve">At </t>
    </r>
    <r>
      <rPr>
        <sz val="11"/>
        <color theme="1"/>
        <rFont val="Calibri"/>
        <family val="2"/>
      </rPr>
      <t>£</t>
    </r>
    <r>
      <rPr>
        <sz val="9.9"/>
        <color theme="1"/>
        <rFont val="Calibri"/>
        <family val="2"/>
      </rPr>
      <t>1 = $1.33</t>
    </r>
  </si>
  <si>
    <t>2019, use April number</t>
  </si>
  <si>
    <t>Average Exports 1999 to 2001</t>
  </si>
  <si>
    <t>Average 2016-2018</t>
  </si>
  <si>
    <t>Average 1999 - 2019</t>
  </si>
  <si>
    <t xml:space="preserve">Difference between US and UK Exports to EU </t>
  </si>
  <si>
    <t>Section 2. Growth of Trade in Goods: 1999 - 2018</t>
  </si>
  <si>
    <r>
      <t>Compound Annual Growth 1999</t>
    </r>
    <r>
      <rPr>
        <b/>
        <sz val="11"/>
        <color theme="1"/>
        <rFont val="Calibri"/>
        <family val="2"/>
      </rPr>
      <t>–2018</t>
    </r>
  </si>
  <si>
    <t>Average Eurozone Growth Rate 1995 to 2019</t>
  </si>
  <si>
    <r>
      <t>Annual growth rates 1999</t>
    </r>
    <r>
      <rPr>
        <b/>
        <sz val="11"/>
        <color theme="1"/>
        <rFont val="Calibri"/>
        <family val="2"/>
      </rPr>
      <t>‒</t>
    </r>
    <r>
      <rPr>
        <b/>
        <sz val="11"/>
        <color theme="1"/>
        <rFont val="Calibri"/>
        <family val="2"/>
        <scheme val="minor"/>
      </rPr>
      <t>2018</t>
    </r>
  </si>
  <si>
    <t>2018: UK Trade with EU</t>
  </si>
  <si>
    <t>2018: US Trade with China</t>
  </si>
  <si>
    <t>Section 1: UK-EU and US-China Deficit Comparison</t>
  </si>
  <si>
    <t>(Source Office of National Statistics)</t>
  </si>
  <si>
    <t>Section 2. Other Comparative Annual Growth Data</t>
  </si>
  <si>
    <t>*1995 to 2019</t>
  </si>
  <si>
    <t>Section 3. UK Economic Growth Rate, and US Comparisons of goods export growth to EU</t>
  </si>
  <si>
    <t xml:space="preserve"> 31% higher. </t>
  </si>
  <si>
    <t>Percentage differential</t>
  </si>
  <si>
    <t>Current Differential of US Exports to EU over UK</t>
  </si>
  <si>
    <t>CAGR 1999 - 2018</t>
  </si>
  <si>
    <t>Section 3. Growth in EU, non-EU Trade: 1999 - 2018</t>
  </si>
  <si>
    <r>
      <t xml:space="preserve">This chart shows the average yearly growth rate for UK exports of goods and services to EU and non-EU countries from 1999 to 2018 for both Goods and Services. The broad relevance of EU membership is superimposed, according to the following appraisal: The Customs Union only impacts UK's goods exports to the EU, which is also where the EU Single Market has maximum impact. This is easily UK's worst-performing trade relationship. The Single Market also impacts UK's goods exports to non-EU countries, since most goods must be made to EU standards whether they are exported to the EU or not. However, some export goods (eg, aero-engines, are not subject to EU Single Market rules and are mostly sold outside the EU. Since the EU has not created Single Market regulation for most services, however, the export of services to EU countries is only slightly impacted by the EU. Financial services are most affected, via passporting rights for example: financial services comprise 25% of UK services exports (see Trade in Services). The UK's best performing area of trade since 1999 is services exports </t>
    </r>
    <r>
      <rPr>
        <b/>
        <i/>
        <sz val="11"/>
        <color theme="1"/>
        <rFont val="Calibri"/>
        <family val="2"/>
        <scheme val="minor"/>
      </rPr>
      <t>outside</t>
    </r>
    <r>
      <rPr>
        <b/>
        <sz val="11"/>
        <color theme="1"/>
        <rFont val="Calibri"/>
        <family val="2"/>
        <scheme val="minor"/>
      </rPr>
      <t xml:space="preserve"> the EU, which is (almost) totally free of the EU's Single Market and Customs Union. At </t>
    </r>
    <r>
      <rPr>
        <b/>
        <sz val="11"/>
        <color theme="1"/>
        <rFont val="Calibri"/>
        <family val="2"/>
      </rPr>
      <t>£167 billion, this trade is now worth almost the same as UK's goods-export trade with the EU.</t>
    </r>
  </si>
  <si>
    <t>Section 4: Overview of UK trade 2018</t>
  </si>
  <si>
    <t xml:space="preserve">The EU Single Market and Customs Union has proved far more successful at stimulating goods imports to UK. Growth rates for imports from the EU invariably outpace  growth rates for exports by two to three percent across UK's principal manufacturing exports sectors (see relevant tabs in Top 10 trades) and in some cases by far more (See in particular: 'Motor Vehicles'). It is a curious feature of UK trade since 1998/9 that growth in UK trade outside the EU has been far more balanced than growth within it. This might imply that EU membership has permitted UK to specialise in services exports UK over goods. If true this might imply that an EU trade agreement that covers goods without services would be prejudicidal to UK interests. However, the current benefit of EU membership to UK services exports is mostly limited to financial services exports to EU, which contribute just 11% of UK's global services exports (See Tab 3). In broad terms, an UK-EU trade agreement that included services would have to include access to many more services currently regulated by the Single Market (e.g. insurance) to balance the market UK currently provides for EU goods. </t>
  </si>
  <si>
    <r>
      <t xml:space="preserve">This chart demonstrates that at just 0.3% per year, the CAGR of UK goods exports to the EU since 1999 is unqiuely poor, as compared to all other elements of UK trade. Worse, the figure doesn't reflect recent stagnation. UK goods exports to EU grew slowly, through steadily, from 1999 to the global financial crisis, then dropped suddenly and have failed to recover (See Tab 3, Section 4). Adjusted for inflation, UK's export of goods to EU was worth an average of </t>
    </r>
    <r>
      <rPr>
        <b/>
        <sz val="11"/>
        <color theme="1"/>
        <rFont val="Calibri"/>
        <family val="2"/>
      </rPr>
      <t>£155 billion in 1999 - 2008 and £151 billion in 2009 - 2018</t>
    </r>
    <r>
      <rPr>
        <b/>
        <sz val="11"/>
        <color theme="1"/>
        <rFont val="Calibri"/>
        <family val="2"/>
        <scheme val="minor"/>
      </rPr>
      <t xml:space="preserve">  (2016 prices). Thus, by some measures UK exports to EU are actually falling. Note, this low growth rate (0.3% per year) is no reflection on EU economic growth rates. As demonstrated in Tab 4 (US &amp; EU comparisons), the growth rate for UK goods exports to the EU is lower than both the long-term, Euro area growth rate (1.56%), and the average growth rate of US exports to the EU, over the same 20-year periond (2.24%). It is also lower than the UK's own productivity growth rate, which implies that friction-less trade within the Customs Union has not created a single additional job since 1998. The dramatic widening of UK's sectoral deficits, however - including especially in motor vehicles, pharmaceuticals, machinery imply that the Customs Union has created many tens of thousands of jobs elsewhere in the EU and are now supplying UK markets.</t>
    </r>
  </si>
  <si>
    <t>1999 £ billion</t>
  </si>
  <si>
    <t>2018 £ billion</t>
  </si>
  <si>
    <t>Comparison of Trade in Goods &amp; Services (current prices)</t>
  </si>
  <si>
    <t>Export of Goods to EU</t>
  </si>
  <si>
    <t>Exports of Goods to non-EU countries</t>
  </si>
  <si>
    <t xml:space="preserve">Comparison of Exports in Goods </t>
  </si>
  <si>
    <t>Trade rules for UK exports in 2015</t>
  </si>
  <si>
    <r>
      <t>Services (</t>
    </r>
    <r>
      <rPr>
        <sz val="11"/>
        <color theme="1"/>
        <rFont val="Calibri"/>
        <family val="2"/>
      </rPr>
      <t>£bn)</t>
    </r>
  </si>
  <si>
    <t xml:space="preserve">The time series data for Goods and Services are adjusted for inflation. Both use series published by ONS in March 2019. This analysis also uses new ONS trade series deflators (see calculations and links) which provide different delfators. Consequently, the growth rates for imports are fractionally higher than if the same deflator were used for both series. For all CAGR calculations, a three-year average has been calculated at the start and end of each time series. Currently, therefore, the data is calculated for an average of the years from 1999 - 2001 and 2016 - 2018, with 17 time intervals. All calcultation available in the following sheets: Trade in Goods, and Trade in Services. </t>
  </si>
  <si>
    <t>UK Balances: 2018</t>
  </si>
  <si>
    <r>
      <t xml:space="preserve">Balance </t>
    </r>
    <r>
      <rPr>
        <b/>
        <sz val="11"/>
        <color theme="1"/>
        <rFont val="Calibri"/>
        <family val="2"/>
      </rPr>
      <t>£ bn</t>
    </r>
  </si>
  <si>
    <t>Section 5. UK services data: 1999 to 2018 (ONS)</t>
  </si>
  <si>
    <t xml:space="preserve"> Exports  1999</t>
  </si>
  <si>
    <t>Exports  2018</t>
  </si>
  <si>
    <t xml:space="preserve"> Imports  1999</t>
  </si>
  <si>
    <t>Imports   2018</t>
  </si>
  <si>
    <t>Growth in UK Trade: EU &amp; non-EU (Current prices)</t>
  </si>
  <si>
    <t>CAGR             1999-2018</t>
  </si>
  <si>
    <r>
      <t xml:space="preserve">Overall Growth of UK Services Trade:      1999 </t>
    </r>
    <r>
      <rPr>
        <b/>
        <sz val="11"/>
        <color theme="1"/>
        <rFont val="Calibri"/>
        <family val="2"/>
      </rPr>
      <t>–</t>
    </r>
    <r>
      <rPr>
        <b/>
        <sz val="11"/>
        <color theme="1"/>
        <rFont val="Calibri"/>
        <family val="2"/>
        <scheme val="minor"/>
      </rPr>
      <t xml:space="preserve"> 2018</t>
    </r>
  </si>
  <si>
    <t xml:space="preserve">Section 4. Growth in EU, non-EU trade in manufactured goods: 1999 – 2018
</t>
  </si>
  <si>
    <t>Source: Bank of Enggland 31 Dec Spot Exchange average</t>
  </si>
  <si>
    <r>
      <t>Balance  1</t>
    </r>
    <r>
      <rPr>
        <b/>
        <sz val="11"/>
        <color theme="1"/>
        <rFont val="Calibri"/>
        <family val="2"/>
      </rPr>
      <t>£</t>
    </r>
    <r>
      <rPr>
        <b/>
        <sz val="11"/>
        <color theme="1"/>
        <rFont val="Calibri"/>
        <family val="2"/>
        <scheme val="minor"/>
      </rPr>
      <t>:$1.335</t>
    </r>
  </si>
  <si>
    <t xml:space="preserve">Exchange rate </t>
  </si>
  <si>
    <t>Bank of England</t>
  </si>
  <si>
    <t>UK Exports: 2018</t>
  </si>
  <si>
    <t>Composition of Trade in Goods: 1999 - 2018</t>
  </si>
  <si>
    <t>The UK exported goods worth £350.7 billion in 2019, of which 88.1% was manufactured products — a proportion that has remained steady since 1998. In real prices (i.e. adjusted for inflation), UK exports to EU have barely risen in value since 1998 - by 5.4% overall, and just 0.31% per year (CAGR). Most of that growth occured pre-2008, however. Exports to EU during 2009-2018 were, on average than during 1999-2008, which implies exports to EU are stagnant or falling. Imports from EU have grown  line with UK's general growth in goods trade, by 66%. The result is that since 1999, the UK's near-balanced goods trade with EU(-£7.8 bn ) has deteriorated steadily into into a £93.5 bn deficit in 2019. In contrast, exports to non-EU countries ‒ of which approximately 73% is conducted on WTO terms* ‒ have increased by 70%, or 3.2% per year. Between 1999 and 2018 the EU's share of UK exports has fallen crisply from 60.3% in 1999 to 48.4% in 2018, while imports from EU have remained steady at 55%. The most valuable of UK goods exports are (in order): motor vehicles, £44 bn; transport equipment (almostly entirely aerospace) £37 billion; machinery, £33 billion; chemicals, £30 billion; and computers and electronics, £27 billion. The UK's fastest-growing export sectors are aerospace, vehicles, and pharmaceuticals; however exports of pharmaceuticals to EU have been hit by recent disinvestment as global pharmaceuticals have moved investment to the Republic of Ireland. Eurostat data (Section 5) reveal UK's uniquely poor trade performace among EU's principal economies, with an export/import ratio falling to 61%. The UK's top 10 manufacturing export sectors are analysed individually in the accompanying sheet:  UK'S Top 10 Sectors.</t>
  </si>
  <si>
    <t>Section 1: UK services exports 2018</t>
  </si>
  <si>
    <t>Source: From ONS, dervived from 24th April Release</t>
  </si>
  <si>
    <t>Service type</t>
  </si>
  <si>
    <t>Total Services</t>
  </si>
  <si>
    <t>Maintenance and Repair</t>
  </si>
  <si>
    <t>Sea transportation</t>
  </si>
  <si>
    <t>Air transportation</t>
  </si>
  <si>
    <t>Other modes of transportation</t>
  </si>
  <si>
    <t>Postal and courier services</t>
  </si>
  <si>
    <t>Business travel</t>
  </si>
  <si>
    <t>Personal travel</t>
  </si>
  <si>
    <t>Construction abroad</t>
  </si>
  <si>
    <t>Construction in the reporting economy</t>
  </si>
  <si>
    <t>Insurance and Pension</t>
  </si>
  <si>
    <t>Direct insurance</t>
  </si>
  <si>
    <t>Reinsurance</t>
  </si>
  <si>
    <t>Auxiliary insurance services</t>
  </si>
  <si>
    <t>Pension and standardised guarantee services</t>
  </si>
  <si>
    <t>Financial</t>
  </si>
  <si>
    <t>Explicitly charged and other financial services</t>
  </si>
  <si>
    <t>Financial intermediation services indirectly measured (FISIM)</t>
  </si>
  <si>
    <t>Telecommunications, computer and information services</t>
  </si>
  <si>
    <t>Telecommunications services</t>
  </si>
  <si>
    <t>Computer services</t>
  </si>
  <si>
    <t>Information services</t>
  </si>
  <si>
    <t>Other Business Services</t>
  </si>
  <si>
    <t>Research and development services</t>
  </si>
  <si>
    <t>Professional and management consulting services</t>
  </si>
  <si>
    <t>Legal, accounting, management consulting and public relations</t>
  </si>
  <si>
    <t>Advertising, market research and public opinion polling</t>
  </si>
  <si>
    <t>Technical, trade-related and other business services</t>
  </si>
  <si>
    <t>Architectural, engineering, scientific and other technical services</t>
  </si>
  <si>
    <t>Waste treatment and de-pollution, agricultural and mining services</t>
  </si>
  <si>
    <t>Operating leasing services</t>
  </si>
  <si>
    <t>Trade-related services</t>
  </si>
  <si>
    <t>Other business services not included elsewhere</t>
  </si>
  <si>
    <t>Personal, Cultural and Recreational</t>
  </si>
  <si>
    <t>Audiovisual and related services</t>
  </si>
  <si>
    <t>Other personal, cultural, and recreational services</t>
  </si>
  <si>
    <t>Government</t>
  </si>
  <si>
    <t>Account number</t>
  </si>
  <si>
    <t>10.2.1</t>
  </si>
  <si>
    <t>10.2.2</t>
  </si>
  <si>
    <t>10.3.1</t>
  </si>
  <si>
    <t>10.3.2</t>
  </si>
  <si>
    <t>10.3.3</t>
  </si>
  <si>
    <t>10.3.4</t>
  </si>
  <si>
    <t>10.3.5</t>
  </si>
  <si>
    <t>Exports (Credits)</t>
  </si>
  <si>
    <t>Total EU28</t>
  </si>
  <si>
    <t>Total non-EU</t>
  </si>
  <si>
    <t>Imports (Debits)</t>
  </si>
  <si>
    <t>Top Ten Services Data</t>
  </si>
  <si>
    <t>Top 10 Services</t>
  </si>
  <si>
    <t>The Rest</t>
  </si>
  <si>
    <t>Non-Included Section 10</t>
  </si>
  <si>
    <t>Total all categories</t>
  </si>
  <si>
    <t>General technical &amp; business services (architectural, engineering etc)</t>
  </si>
  <si>
    <t>Tansportation</t>
  </si>
  <si>
    <t>Telecommunicataions and IT services</t>
  </si>
  <si>
    <t>Intellectual Property</t>
  </si>
  <si>
    <t>Other major categories</t>
  </si>
  <si>
    <t>Professional services (legal, marketing, management consultancy, etc)</t>
  </si>
  <si>
    <t>Professional services (legal, accounting, management consultancy etc)</t>
  </si>
  <si>
    <t>General technical &amp; business services (engineering, architectural etc)</t>
  </si>
  <si>
    <t>Telecommunications &amp; IT services</t>
  </si>
  <si>
    <t>The rest</t>
  </si>
  <si>
    <t>Transport (air &amp; sea)</t>
  </si>
  <si>
    <t>Insurance &amp; Pension</t>
  </si>
  <si>
    <t>Total (reconciliation)</t>
  </si>
  <si>
    <r>
      <t>Comparison of exports to EU (</t>
    </r>
    <r>
      <rPr>
        <b/>
        <sz val="11"/>
        <color theme="1"/>
        <rFont val="Calibri"/>
        <family val="2"/>
      </rPr>
      <t>£</t>
    </r>
    <r>
      <rPr>
        <b/>
        <sz val="9.9"/>
        <color theme="1"/>
        <rFont val="Calibri"/>
        <family val="2"/>
      </rPr>
      <t xml:space="preserve"> billion)</t>
    </r>
  </si>
  <si>
    <t>Total 1-8</t>
  </si>
  <si>
    <t>Total 1-9</t>
  </si>
  <si>
    <t>EU Trade in Services: 2018</t>
  </si>
  <si>
    <t>Non-EU Trade in Services: 2018</t>
  </si>
  <si>
    <t xml:space="preserve">Composition of trade in services 2018: </t>
  </si>
  <si>
    <t>ONS April 2019. Extracts and summaries at Tab 5</t>
  </si>
  <si>
    <t>ONS March 2019 (EU imports)</t>
  </si>
  <si>
    <t xml:space="preserve">Section 1-4: Current Prices, non-seasonally adjusted. Data published March 2019. Section 4 data onwards:updated data published in March 2019, seasonaly adjusted, then adjusted for inflation using ONS trade deflators for imports and exports, 2016 base prices (see Section 7 below). </t>
  </si>
  <si>
    <r>
      <t>Section 4. Evolution of UK's trade in services with EU and non-EU countries: 1999</t>
    </r>
    <r>
      <rPr>
        <b/>
        <sz val="14"/>
        <color theme="1"/>
        <rFont val="Calibri"/>
        <family val="2"/>
      </rPr>
      <t>–2018</t>
    </r>
  </si>
  <si>
    <t>Trade in Goods Current Prices</t>
  </si>
  <si>
    <t>EU's Share of UK Trade 1999-2019</t>
  </si>
  <si>
    <t>Section 5: The Change in EU's share of UK trade, 1999 - 2018</t>
  </si>
  <si>
    <t xml:space="preserve">The  impact of of differential CAGRs for UK's exports and imports has led to a steady diminution of EU's share of UK exports. In 1999, the EU took 61% of UK's goods exports (blue line); the EU's highest share of any part of UK trade. But 0.3% growth since then, and an absolute decline since 2008, has resulted in a dramatic fall in UK's share of UK goods exports, to 49% today. Critically, however, the EU's share of UK goods imports has held steady over that period (red line). The inflection point occured in 2012, when EU's share of UK exports (50.9%) fell below the EU's share of UK imports. Since then the gap has widened, such that the EU's share of UK imports is now, easily, its highest share of any part of UK trade. This represents the net effect of the EU Customs Union on UK trade over time: preserving EU's hold on UK import markets, while taking an ever smaller share of UK goods exports. Trade in services provides no recompense. The actual portion of UK services exports impacted by the Single Market is probably less than 3% (see Trade in Services), therefore it is predictabe that the EU's share of UK services exports has not increased since 1999 (green line). The EU as a source of UK's services imports has declined, though it was far higher (55.6%) in 1999. A major reason for the decline of EU as a source of UK services inmports is simply a higher proportion of UK citizens taking holidays outside of Europe. </t>
  </si>
  <si>
    <t>Services Exports to EU</t>
  </si>
  <si>
    <t>Services Imports from EU</t>
  </si>
  <si>
    <t>Goods Exports to EU</t>
  </si>
  <si>
    <t>Goods Imports from EU</t>
  </si>
  <si>
    <t>CAGR 1999-2018</t>
  </si>
  <si>
    <t>Value 2018 £bn</t>
  </si>
  <si>
    <t>UK Trade 2018</t>
  </si>
  <si>
    <t>Section 6: UK trade and CAGRs</t>
  </si>
  <si>
    <t>1. Non-EU services exports</t>
  </si>
  <si>
    <t>2. EU services exports</t>
  </si>
  <si>
    <t>3. Non-Eu services imports</t>
  </si>
  <si>
    <t>4. Non-EU Goods exports</t>
  </si>
  <si>
    <t>5. EU services imports</t>
  </si>
  <si>
    <t>6. Non-EU goods imports</t>
  </si>
  <si>
    <t>7. EU goods imports</t>
  </si>
  <si>
    <t>8. EU goods exports</t>
  </si>
  <si>
    <r>
      <t xml:space="preserve">The EU purchased £116.7 billion of UK's £283 billion services exports in 2018, a 41% share that is declining very slightly over time. This services trade is unaffected by the EU Customs Union and only fractionally impacted by the Single Market. The Single Market most impacts trade in financial services, which generated £27 billion of EU exports in 2016 (the last year for which a reliably, detailed breakdown is available) and a £22.9 billion surplus, making it UK's best-performing sectoral trade relationship with the EU. However, UK sells far more financial services outside the EU - worth £34.7 billion - and together they accounted for just 25% of UK services exports in 2016. More valuable are what ONS calls 'other business services', which comprise two valuable professional-services sectors: 'general technical services', win which is included engineering and architectural services; and professional services, such as legal, accounting, advertising and business consultancy services. UK's valuable software exports are included with the sixth category - telecommunications &amp; IT services - are now worth a combined </t>
    </r>
    <r>
      <rPr>
        <b/>
        <sz val="11"/>
        <color theme="1"/>
        <rFont val="Calibri"/>
        <family val="2"/>
      </rPr>
      <t>£</t>
    </r>
    <r>
      <rPr>
        <b/>
        <sz val="11"/>
        <color theme="1"/>
        <rFont val="Calibri"/>
        <family val="2"/>
        <scheme val="minor"/>
      </rPr>
      <t>20.7 bn in annual exports. UK Exports of services outside the EU have grown by 5.4% per year since 1999, which means the UK's best performing trade is also the one that is least imapcted by EU membership. Worth £162 b7 in 2018, serives exports to countries outside the EU will shortly overtake UK's non-EU goods exports, which are growing by 3.2% per year.</t>
    </r>
  </si>
  <si>
    <t>Proportion of total exports</t>
  </si>
  <si>
    <t>UK Goods exports to EU</t>
  </si>
  <si>
    <t>In 1999</t>
  </si>
  <si>
    <t>In 2018</t>
  </si>
  <si>
    <t>Section 7. Change in UK Trade since 1998</t>
  </si>
  <si>
    <t xml:space="preserve">Goods exports to EU </t>
  </si>
  <si>
    <t>All exports outside EU</t>
  </si>
  <si>
    <t>29th March 2019</t>
  </si>
  <si>
    <t>Section 6. Core Data, Current Prices, ONS March 29 2019 Release</t>
  </si>
  <si>
    <t>EU as destination for exports</t>
  </si>
  <si>
    <t>FORWARD PROJECTIONS</t>
  </si>
  <si>
    <t>non-EU exports</t>
  </si>
  <si>
    <t>non-EU imports</t>
  </si>
  <si>
    <t>Balance (bn)</t>
  </si>
  <si>
    <t xml:space="preserve">Switzerland </t>
  </si>
  <si>
    <t>US</t>
  </si>
  <si>
    <t>All non-EU</t>
  </si>
  <si>
    <t xml:space="preserve">Goods To. </t>
  </si>
  <si>
    <t>£ million, seasonally adjusted, current price</t>
  </si>
  <si>
    <t>EU 15</t>
  </si>
  <si>
    <t>EU 15: 1995</t>
  </si>
  <si>
    <t>EU 27: 2007</t>
  </si>
  <si>
    <t>Bulgaria</t>
  </si>
  <si>
    <t>Croatia</t>
  </si>
  <si>
    <t>Cyprus</t>
  </si>
  <si>
    <t>Ireland</t>
  </si>
  <si>
    <t>Lithuania</t>
  </si>
  <si>
    <t>Malta</t>
  </si>
  <si>
    <t>Romania</t>
  </si>
  <si>
    <t>EU 28: 2013</t>
  </si>
  <si>
    <t>Total EU 28</t>
  </si>
  <si>
    <t>Reconciliation</t>
  </si>
  <si>
    <t>EU 25: 2004</t>
  </si>
  <si>
    <t>Supplied by Abi Casey, ONS, 12/08/2019</t>
  </si>
  <si>
    <t>Total EU 15</t>
  </si>
  <si>
    <t>Total for 2004 Accession</t>
  </si>
  <si>
    <t>Total for 2007 Accession</t>
  </si>
  <si>
    <t xml:space="preserve">EU 15 </t>
  </si>
  <si>
    <t>EU 25</t>
  </si>
  <si>
    <t>EU 27</t>
  </si>
  <si>
    <t>EU 28</t>
  </si>
  <si>
    <t>2004 Accession Countries</t>
  </si>
  <si>
    <t>2007 Accession Countries</t>
  </si>
  <si>
    <t xml:space="preserve">Export Destinations for UK Goods </t>
  </si>
  <si>
    <t>(£ bn): 2018</t>
  </si>
  <si>
    <t>2014 Accession Country</t>
  </si>
  <si>
    <t xml:space="preserve">% of total EU </t>
  </si>
  <si>
    <t>Total for all EU states</t>
  </si>
  <si>
    <t>Section 6. Core Data, Current Prices, ONS August 2019 Release</t>
  </si>
  <si>
    <t>Total goods exports to EU 15</t>
  </si>
  <si>
    <t>Total goods exports to EU 25</t>
  </si>
  <si>
    <t>Total goods to EU 25</t>
  </si>
  <si>
    <t>Total goods to EU 27</t>
  </si>
  <si>
    <t>Total goods to EU 28</t>
  </si>
  <si>
    <t>Total goods to 2004 Accession states</t>
  </si>
  <si>
    <t>Total goods to 2007 Accession states</t>
  </si>
  <si>
    <t>Total goods exports to EU 27</t>
  </si>
  <si>
    <t>Total goods exports to EU 28</t>
  </si>
  <si>
    <t>Trade data adjusted for inflation (2016 prices)</t>
  </si>
  <si>
    <t>Total for 2004 Accession States</t>
  </si>
  <si>
    <t>Total goods exports to 2004 Accession states</t>
  </si>
  <si>
    <t xml:space="preserve">Non EU </t>
  </si>
  <si>
    <t>United States inc Puerto Rico</t>
  </si>
  <si>
    <t>United Arab Emirates</t>
  </si>
  <si>
    <t>Total non-European &amp; non Turkey</t>
  </si>
  <si>
    <t>WTO</t>
  </si>
  <si>
    <t>EFTA</t>
  </si>
  <si>
    <t>% of 2018 non-EU trade</t>
  </si>
  <si>
    <t>Trading terms</t>
  </si>
  <si>
    <t>Total included here</t>
  </si>
  <si>
    <t xml:space="preserve">Total non-EU </t>
  </si>
  <si>
    <t>Impact of Accession on CAGRs</t>
  </si>
  <si>
    <t>% Europe non-EU plus Turkey</t>
  </si>
  <si>
    <t>Switzerland + Norway + Turkey</t>
  </si>
  <si>
    <t xml:space="preserve">Note: this section switches to inflation-adjusted data with 2016 as the base year, hence the end series values are lower than in current-price data. Growth rates calculated from three-year averages at the beginning and end of the time series. </t>
  </si>
  <si>
    <t>TOTAL non-EU Goods Exports</t>
  </si>
  <si>
    <t>EU Total</t>
  </si>
  <si>
    <t>Non-EU Minus Precious Metals</t>
  </si>
  <si>
    <t>Non-EU Total</t>
  </si>
  <si>
    <t>Precious Metals Extraction</t>
  </si>
  <si>
    <t>EU Minus Precious Metals</t>
  </si>
  <si>
    <t>Country Data for Goods Export Growth</t>
  </si>
  <si>
    <t>Uk's goods exports to EU</t>
  </si>
  <si>
    <t>Source, ONS, August 2019</t>
  </si>
  <si>
    <t>Section 1. Impact of Trade in Precious Metals</t>
  </si>
  <si>
    <t xml:space="preserve">UK Goods Exports: WTO, FTAs &amp; EFTA. </t>
  </si>
  <si>
    <t>Switzerland, Turkey &amp; Norway</t>
  </si>
  <si>
    <t>Section 3. Core Data, Current Prices, ONS August 2019 Release</t>
  </si>
  <si>
    <r>
      <t>UK - EU Goods Exports(</t>
    </r>
    <r>
      <rPr>
        <b/>
        <sz val="10"/>
        <rFont val="Calibri"/>
        <family val="2"/>
      </rPr>
      <t>£ billion)</t>
    </r>
  </si>
  <si>
    <r>
      <t>UK - Non-EU Goods Exports (</t>
    </r>
    <r>
      <rPr>
        <b/>
        <sz val="10"/>
        <rFont val="Calibri"/>
        <family val="2"/>
      </rPr>
      <t>£m)</t>
    </r>
  </si>
  <si>
    <t xml:space="preserve">Total EU </t>
  </si>
  <si>
    <t>EFTA/CU</t>
  </si>
  <si>
    <t xml:space="preserve">% of total non- EU </t>
  </si>
  <si>
    <t>Customs Union</t>
  </si>
  <si>
    <t>Top 10 non European</t>
  </si>
  <si>
    <t>Korea =20% of time series</t>
  </si>
  <si>
    <t>Korea/non-European</t>
  </si>
  <si>
    <t>Customs Union (non agri)</t>
  </si>
  <si>
    <t xml:space="preserve">Note: According to Burrage, (p. 86-88), Switzerland is by far UK's biggest non-EU, non-WTO market, accounting for 49.5% of such exports. South Korea is next (10.1%), then Turkey (8.2%), then Norway (7.3%). </t>
  </si>
  <si>
    <t>% of all non EU exports.</t>
  </si>
  <si>
    <t>WTO/FTA (2011)</t>
  </si>
  <si>
    <t>Roughly 97.95% WTO</t>
  </si>
  <si>
    <r>
      <t xml:space="preserve">UK Goods exports minus 'Precious metals' in </t>
    </r>
    <r>
      <rPr>
        <b/>
        <sz val="11"/>
        <color theme="1"/>
        <rFont val="Calibri"/>
        <family val="2"/>
      </rPr>
      <t xml:space="preserve">£bn </t>
    </r>
  </si>
  <si>
    <t>WTO (Since 2001)</t>
  </si>
  <si>
    <r>
      <rPr>
        <b/>
        <sz val="11"/>
        <color theme="1"/>
        <rFont val="Calibri"/>
        <family val="2"/>
        <scheme val="minor"/>
      </rPr>
      <t xml:space="preserve">(Sources &amp; links in line: </t>
    </r>
    <r>
      <rPr>
        <sz val="11"/>
        <color theme="1"/>
        <rFont val="Calibri"/>
        <family val="2"/>
        <scheme val="minor"/>
      </rPr>
      <t>ONS, Bank of England, US Censis, Office of the POTUS, Trading Economics, US Labour Bureau)</t>
    </r>
  </si>
  <si>
    <t>Comparison of UK Trade with US Deficits &amp; Trade, UK Productivity &amp; EU Growth Rates</t>
  </si>
  <si>
    <t xml:space="preserve">Source: ONS, Supplied by Abi Casey, Head of Statistics Operations, 12/08/2019, and reproduced at Tab 8. </t>
  </si>
  <si>
    <r>
      <t xml:space="preserve">Note: </t>
    </r>
    <r>
      <rPr>
        <i/>
        <sz val="11"/>
        <color theme="1"/>
        <rFont val="Calibri"/>
        <family val="2"/>
        <scheme val="minor"/>
      </rPr>
      <t xml:space="preserve"> In general terms, UK's non-EU trade falls into three catageroies: trade conducted on WTO terms; trade conducted under the EU's agreements with the members of the European Free Trade Agreement (Swizterland, Norway, Lichtenstein &amp; Iceland); and trade conducted under EU-negotiated preferential terms, such as either the EU-South Korea Free Trade Agreements, or with scores of developing countries under the Lomé Convention. Additionally, under the Ankara Agreement, the EU maintains a Customs Union in non-agricultural products with Turkey. The majority of trade partners under the category 'other in this analysis (21.7% of non-EU exports) are countries UK trades with under the Lom</t>
    </r>
    <r>
      <rPr>
        <i/>
        <sz val="11"/>
        <color theme="1"/>
        <rFont val="Calibri"/>
        <family val="2"/>
      </rPr>
      <t>é</t>
    </r>
    <r>
      <rPr>
        <i/>
        <sz val="11"/>
        <color theme="1"/>
        <rFont val="Calibri"/>
        <family val="2"/>
        <scheme val="minor"/>
      </rPr>
      <t xml:space="preserve"> convention.</t>
    </r>
  </si>
  <si>
    <t xml:space="preserve"> Deflators</t>
  </si>
  <si>
    <t>Non-EU Precious Metals (ONS Lines Item 24.4)</t>
  </si>
  <si>
    <t>EU Precious Metals  (ONS Lines Item 24.4)</t>
  </si>
  <si>
    <t xml:space="preserve">On 30th March 2018, the UK's Office for National Statistics (ONS) published data on UK's trade in services which, for the first time, enable direct comparison of the growth in UKs's trade in goods and services with EU and non-EU countries from 1999 to 2018.  This data was updated and substantially revised in September 2018 and March 2019. With this data, analysts can place the value of UK's financial services exports in correct proportion with UK's other export sectors, including UK's manufacturing sectors - which account for 88% of all UK goods exports. And with inflation-adjusted time-series data, analysts can compare the growth achieved by exports within the Customs Union with exports outside of it, approximately 73% of which are conducted on World Trade Organisation (WTO) terms (See Section 2). Sheets 5 and 7 also analyse the impact of accession states and trade in monetary gold, and conclude that the impact is nugatory. Sheet 7 demonstrates that the CAGR for UK's goods exports to non-EU states slightly understates the CAGR for UK exports to partners conducted on WTO terms. </t>
  </si>
  <si>
    <r>
      <t xml:space="preserve">Note: </t>
    </r>
    <r>
      <rPr>
        <i/>
        <sz val="10"/>
        <color theme="1"/>
        <rFont val="Arial"/>
        <family val="2"/>
      </rPr>
      <t>This worksheet ('All Trade') is a simplified summary of sector-by-sector data analysis: the tabs below step through summaries of UK 'Trade in Goods', then 'Trade in Services',  and then comparisons with relevant US and EU metrics. In an accompanying sheet (UK's top 10 trades), this analysis steps through UK's top ten goods export sectors in turn, starting with 'Motor Vehicles'. Additions, comments and corrections to this data are welcome. Please Note: ONS revises historic data with curious frequency, including data from 20 years ago. This analysis has been updated to be consistent with data published by ONS on March 29th 2019.</t>
    </r>
  </si>
  <si>
    <r>
      <rPr>
        <b/>
        <sz val="11"/>
        <color theme="1"/>
        <rFont val="Calibri"/>
        <family val="2"/>
        <scheme val="minor"/>
      </rPr>
      <t xml:space="preserve">Data Sources: </t>
    </r>
    <r>
      <rPr>
        <sz val="11"/>
        <color theme="1"/>
        <rFont val="Calibri"/>
        <family val="2"/>
        <scheme val="minor"/>
      </rPr>
      <t>All data sourced form ONS, 2017-2019, unless otherwises stated. See notes in following tabs for sources and links, correct up to March 29th 2019 Release.</t>
    </r>
  </si>
  <si>
    <r>
      <t xml:space="preserve">UK's poor trade performance with the EU since 1999 may simply reflect EU's own poor economic performance - and not the inhernent workings of the Customs Union and/or Single Market. To test this assumption, this page compare UK trade with the US. Two metrics are instructive: first US deficits, because they demonstrate whether UK's </t>
    </r>
    <r>
      <rPr>
        <b/>
        <sz val="11"/>
        <color theme="1"/>
        <rFont val="Calibri"/>
        <family val="2"/>
      </rPr>
      <t>£93.5 bn deficit is large on a global scale, and secondly the CAGR for US' own goods exports into the EU. Regardless of whether analysts compare deficits according to the relative size of the UK economy, or via deficit per person, the UK's deficit with EU is worse than US' deficit with China (Section 1). Comparing UK and US exports into US (Section 3) it's instantly clear that between 1998 and 2018, US comprehensively outperformed UK as an exporter to the EU. From exporting 4.5 bn less than UK in 1998, US exports have grown crisply by 2.24% p.a., and are now worth 37% more than UK's goods exports. The US has no trade agreement with EU, and traded with the European Union on WTO terms throughout this period. Incidentally, t</t>
    </r>
    <r>
      <rPr>
        <b/>
        <sz val="11"/>
        <color theme="1"/>
        <rFont val="Calibri"/>
        <family val="2"/>
        <scheme val="minor"/>
      </rPr>
      <t>he fact that at 0.3% p.a., UK goods export growth to EU  is far below UK's productivity growth rate, at 1.04% p.a., makes it statistically unfeasible that trade with the has created, net, any jobs over the 1998</t>
    </r>
    <r>
      <rPr>
        <b/>
        <sz val="11"/>
        <color theme="1"/>
        <rFont val="Calibri"/>
        <family val="2"/>
      </rPr>
      <t>–</t>
    </r>
    <r>
      <rPr>
        <b/>
        <sz val="11"/>
        <color theme="1"/>
        <rFont val="Calibri"/>
        <family val="2"/>
        <scheme val="minor"/>
      </rPr>
      <t xml:space="preserve">2018 time period. </t>
    </r>
  </si>
  <si>
    <r>
      <t>Calculating precise CAGRs for UK</t>
    </r>
    <r>
      <rPr>
        <sz val="11"/>
        <color theme="1"/>
        <rFont val="Calibri"/>
        <family val="2"/>
      </rPr>
      <t>–</t>
    </r>
    <r>
      <rPr>
        <sz val="11"/>
        <color theme="1"/>
        <rFont val="Calibri"/>
        <family val="2"/>
        <scheme val="minor"/>
      </rPr>
      <t xml:space="preserve">EU trade from 1999 - 2018 is made complex by the accesstion of 13 states during that period: 10 in 2004, Roumania and Bulgaria in 2007, and Croatia in 2014. This analysis is designed to assess whether incorporating all the trade data from those states, </t>
    </r>
    <r>
      <rPr>
        <i/>
        <sz val="11"/>
        <color theme="1"/>
        <rFont val="Calibri"/>
        <family val="2"/>
        <scheme val="minor"/>
      </rPr>
      <t>as if they were members from 1999</t>
    </r>
    <r>
      <rPr>
        <sz val="11"/>
        <color theme="1"/>
        <rFont val="Calibri"/>
        <family val="2"/>
        <scheme val="minor"/>
      </rPr>
      <t xml:space="preserve">, materially impacts the CAGR caculations for UK trade with the EU Customs Union from 1999-2018. It does, but only fractionally - beacuse of scale and duration. The ten countries that acceeded in 2004 took just 6.4% of UK goods exports in 2018. Of these Poland, was the star performer, with </t>
    </r>
    <r>
      <rPr>
        <sz val="11"/>
        <color theme="1"/>
        <rFont val="Calibri"/>
        <family val="2"/>
      </rPr>
      <t xml:space="preserve">£5.3 bn of exports, </t>
    </r>
    <r>
      <rPr>
        <sz val="11"/>
        <color theme="1"/>
        <rFont val="Calibri"/>
        <family val="2"/>
        <scheme val="minor"/>
      </rPr>
      <t xml:space="preserve">the Czech Repunlic next with £2.1 bn of exports. Calculated separately the CAGR to these ten countries over the entire 20-year period was significantly higher than the EU Average - 4.2% p.a. as opposed to 0.3% p.a. However, exports to these countries was also growing prior to accession. Supposing that some of the post-accession growth is attributable to the Accession 10 joining the Customs Union, then incorporating their data data for the entire 20-year period will very mildly understate a strict calculation of CAGR of UK goods to the EU Customs Union, it being noted that this comprises just 7.4% of UK exports. However, inclusion will inevitably incorporate the one-off 'Accession Effect' of the sudden liberalisation of trade with those countries, and therefore does not truly reflect the ongoing qualities and value of the Customs Union. An alternative approach would be to strip out all the accession states from 1999, and simply calculate the CAGRs for UK exports to the EU 15 over the 20 year period. This represents 92.6% of UK's current EU trade. What's more, it truly reflects the ongoing benefit of the Customs Union. In this case, the CAGR for UK goods exports drops from 0.31% p.a.  to just 0.08% p.a. Given that the accession states </t>
    </r>
    <r>
      <rPr>
        <i/>
        <sz val="11"/>
        <color theme="1"/>
        <rFont val="Calibri"/>
        <family val="2"/>
        <scheme val="minor"/>
      </rPr>
      <t>have</t>
    </r>
    <r>
      <rPr>
        <sz val="11"/>
        <color theme="1"/>
        <rFont val="Calibri"/>
        <family val="2"/>
        <scheme val="minor"/>
      </rPr>
      <t xml:space="preserve"> boosted UK exports to the EU, the author believes the fairest approach is to leave the additional 13 states in the data to the apparent benefit of UK-EU exports, with the aknowledgment that if a correct CAGR could be calculated only from accession dates, that might, ultra-fractionally raise the overall CAGR, or ultra-fractionally lower them. </t>
    </r>
  </si>
  <si>
    <t xml:space="preserve">The purpose of analysis in this sheet is to assess whether the CAGRs for UK's non-EU trade fairly reflects the perforamce of UK's WTO trade, which constitutes between 70-75% of UK's non-EU trade. In short, it does. This means that the basic distinction between EU and non-EU CAGRs is synonymous with EU and WTO exports at the top level. The average CAGRS for UK's top 10 non-European &amp; non-Turkey trade partners since 1999 is 3.21% p.a., and the author estimates that approximately 97% of this trade was conducted on WTO terms through this time period  (section 2). Together these top-ten country trade partners contributed 69.3% to UK's non-EU exports in 2018. UK good exports to Switzerland, Norway and Turkey have grown very slightly slower at 3.19 % p.a. Of these top 10 non-European trade partners, only South Korea has an FTA with the EU, and that was operative for the latter eight years of the 1999 - 2018 times series. Covering 78.3% of UK's non-EU exports, this analysis demonstrates that the growth rates acheived by UK's exports conducted on WTO terms accurately reflects the performance of UK's non-EU exports, as compiled by ONS, and tappears to exceeds them. Only a highly detailed analysis of scores of small trade partners would reveal the growth rates of the approximately 5% of WTO exports not examined here. </t>
  </si>
  <si>
    <t>% non-EU good Exports</t>
  </si>
  <si>
    <t>South Korea (WTO, 1999 to 2011)</t>
  </si>
  <si>
    <t xml:space="preserve"> WTO trade partners (China since 2001)</t>
  </si>
  <si>
    <r>
      <t>Other (FTA, Lom</t>
    </r>
    <r>
      <rPr>
        <sz val="11"/>
        <color theme="1"/>
        <rFont val="Calibri"/>
        <family val="2"/>
      </rPr>
      <t>é</t>
    </r>
    <r>
      <rPr>
        <sz val="11"/>
        <color theme="1"/>
        <rFont val="Calibri"/>
        <family val="2"/>
        <scheme val="minor"/>
      </rPr>
      <t xml:space="preserve"> + remaining WTO &amp; EFTA</t>
    </r>
  </si>
  <si>
    <r>
      <t xml:space="preserve">In ONS data, trade in Non-monetary gold is accounted for within the 'Basic Metals' category of manufactured goods. It's line iteem is 24.4 'Basic precious and other non-ferous metals'. Consequently, this category - and its inclusion within the  'Manufactured' category of Goods data -  captures the effect of UK trade in gold. Since ONS cannot supply trade in gold as its own line item, the safest method to assess its general impact is simply to extract the entire line item from UK's overall goods trade data, and observe the change. In short, it reduces UK's non-EU exports by about </t>
    </r>
    <r>
      <rPr>
        <sz val="11"/>
        <color theme="1"/>
        <rFont val="Calibri"/>
        <family val="2"/>
      </rPr>
      <t xml:space="preserve">£7-8 billion per year in each of the last three years, and UK's EU exports by £3-4 billion. Exports of precious metals have grown more quickly outside the EU, however, in particular ( the author understands) to Switzerland, China and India. Nevertheless, extracting it entirely from UK's overall CAGRs reduces UK 1999-2018 growth to non-EU countries by just 0.15 % p.a. — to 3.02% p.a., and by 0.04% p.a.  to EU —  or 0.27% p.a. </t>
    </r>
    <r>
      <rPr>
        <sz val="11"/>
        <color theme="1"/>
        <rFont val="Calibri"/>
        <family val="2"/>
        <scheme val="minor"/>
      </rPr>
      <t xml:space="preserve">Incidentally, in 2018, UK had a </t>
    </r>
    <r>
      <rPr>
        <sz val="11"/>
        <color theme="1"/>
        <rFont val="Calibri"/>
        <family val="2"/>
      </rPr>
      <t xml:space="preserve">£2.3 bn deficit in its non-EU trade in 'basic precious and other non-ferous metals'. This means the UK was likely a net importer of gold with non-EU countries last year. </t>
    </r>
    <r>
      <rPr>
        <sz val="11"/>
        <color theme="1"/>
        <rFont val="Calibri"/>
        <family val="2"/>
        <scheme val="minor"/>
      </rPr>
      <t xml:space="preserve">Gratingly, the ONS cannot supply details on trade for this line item by country. It seems likely that outside the EU, gold is exported to China, Switzerland and India, in that order. Unfortunately, the author cannot assess how this trade would impact calculations on CAGR to those countries, besides stating that, eg, if half of all UK's non-EU exports of precious metals was exported to China in 2018, that would equate to approximately 25% of exports to China, and the CAGR of UK exports to China would drop from 12.3% p.a. to 10.5% p.a. This is still faster than the growth rate for UK exports to any other major non-EU economy. </t>
    </r>
  </si>
  <si>
    <t>Trade in Non-monetary Gold</t>
  </si>
  <si>
    <t xml:space="preserve">Random Calculations. </t>
  </si>
  <si>
    <r>
      <t>Total Goods trade with EU (</t>
    </r>
    <r>
      <rPr>
        <b/>
        <sz val="10"/>
        <rFont val="Calibri"/>
        <family val="2"/>
      </rPr>
      <t xml:space="preserve">£ </t>
    </r>
    <r>
      <rPr>
        <b/>
        <sz val="10"/>
        <rFont val="Arial"/>
        <family val="2"/>
      </rPr>
      <t>billion)</t>
    </r>
  </si>
  <si>
    <t>EU Average Trade</t>
  </si>
  <si>
    <t>Non-EU Average Trade</t>
  </si>
  <si>
    <r>
      <t>Goods Trade with non-EU (</t>
    </r>
    <r>
      <rPr>
        <b/>
        <sz val="10"/>
        <rFont val="Calibri"/>
        <family val="2"/>
      </rPr>
      <t>£</t>
    </r>
    <r>
      <rPr>
        <b/>
        <sz val="10"/>
        <rFont val="Arial"/>
        <family val="2"/>
      </rPr>
      <t xml:space="preserve"> billion)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</si>
</sst>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0_-;\-* #,##0_-;_-* &quot;-&quot;_-;_-@_-"/>
    <numFmt numFmtId="44" formatCode="_-&quot;$&quot;* #,##0.00_-;\-&quot;$&quot;* #,##0.00_-;_-&quot;$&quot;* &quot;-&quot;??_-;_-@_-"/>
    <numFmt numFmtId="43" formatCode="_-* #,##0.00_-;\-* #,##0.00_-;_-* &quot;-&quot;??_-;_-@_-"/>
    <numFmt numFmtId="164" formatCode="0.0%"/>
    <numFmt numFmtId="165" formatCode="[$£-809]#,##0"/>
    <numFmt numFmtId="166" formatCode="_-[$£-809]* #,##0.00_-;\-[$£-809]* #,##0.00_-;_-[$£-809]* &quot;-&quot;??_-;_-@_-"/>
    <numFmt numFmtId="167" formatCode="#\ ##0"/>
    <numFmt numFmtId="168" formatCode="_-[$£-809]* #,##0_-;\-[$£-809]* #,##0_-;_-[$£-809]* &quot;-&quot;??_-;_-@_-"/>
    <numFmt numFmtId="169" formatCode="_-[$£-809]* #,##0.0_-;\-[$£-809]* #,##0.0_-;_-[$£-809]* &quot;-&quot;??_-;_-@_-"/>
    <numFmt numFmtId="170" formatCode="0.0"/>
    <numFmt numFmtId="171" formatCode="[$£-809]#,##0.0"/>
    <numFmt numFmtId="172" formatCode="0.000"/>
    <numFmt numFmtId="173" formatCode="_-* #,##0_-;\-* #,##0_-;_-* &quot;-&quot;??_-;_-@_-"/>
    <numFmt numFmtId="174" formatCode="_-[$$-409]* #,##0_ ;_-[$$-409]* \-#,##0\ ;_-[$$-409]* &quot;-&quot;??_ ;_-@_ "/>
    <numFmt numFmtId="175" formatCode="0.0000"/>
    <numFmt numFmtId="176" formatCode="0.000%"/>
    <numFmt numFmtId="177" formatCode="_-&quot;$&quot;* #,##0.0_-;\-&quot;$&quot;* #,##0.0_-;_-&quot;$&quot;* &quot;-&quot;??_-;_-@_-"/>
    <numFmt numFmtId="178" formatCode="0.00000%"/>
    <numFmt numFmtId="179" formatCode="_-[$£-809]* #,##0.0_-;\-[$£-809]* #,##0.0_-;_-[$£-809]* &quot;-&quot;?_-;_-@_-"/>
  </numFmts>
  <fonts count="70" x14ac:knownFonts="1">
    <font>
      <sz val="11"/>
      <color theme="1"/>
      <name val="Calibri"/>
      <family val="2"/>
      <scheme val="minor"/>
    </font>
    <font>
      <b/>
      <sz val="11"/>
      <color theme="1"/>
      <name val="Calibri"/>
      <family val="2"/>
      <scheme val="minor"/>
    </font>
    <font>
      <sz val="10"/>
      <name val="Arial"/>
      <family val="2"/>
    </font>
    <font>
      <b/>
      <sz val="10"/>
      <name val="Arial"/>
      <family val="2"/>
    </font>
    <font>
      <sz val="8"/>
      <name val="Verdana"/>
      <family val="2"/>
    </font>
    <font>
      <sz val="10"/>
      <name val="Calibri"/>
      <family val="2"/>
    </font>
    <font>
      <b/>
      <sz val="11"/>
      <color theme="1"/>
      <name val="Calibri"/>
      <family val="2"/>
    </font>
    <font>
      <u/>
      <sz val="11"/>
      <color theme="10"/>
      <name val="Calibri"/>
      <family val="2"/>
      <scheme val="minor"/>
    </font>
    <font>
      <b/>
      <u/>
      <sz val="10"/>
      <name val="Arial"/>
      <family val="2"/>
    </font>
    <font>
      <sz val="10"/>
      <color theme="1"/>
      <name val="Arial"/>
      <family val="2"/>
    </font>
    <font>
      <sz val="11"/>
      <color theme="1"/>
      <name val="Calibri"/>
      <family val="2"/>
      <scheme val="minor"/>
    </font>
    <font>
      <sz val="11"/>
      <color rgb="FFFF0000"/>
      <name val="Calibri"/>
      <family val="2"/>
      <scheme val="minor"/>
    </font>
    <font>
      <b/>
      <sz val="10"/>
      <color rgb="FFFF0000"/>
      <name val="Arial"/>
      <family val="2"/>
    </font>
    <font>
      <b/>
      <sz val="18"/>
      <color theme="1"/>
      <name val="Calibri"/>
      <family val="2"/>
      <scheme val="minor"/>
    </font>
    <font>
      <b/>
      <sz val="10"/>
      <color theme="1"/>
      <name val="Arial"/>
      <family val="2"/>
    </font>
    <font>
      <sz val="12"/>
      <color theme="1"/>
      <name val="Calibri"/>
      <family val="2"/>
      <scheme val="minor"/>
    </font>
    <font>
      <b/>
      <u/>
      <sz val="14"/>
      <name val="Calibri"/>
      <family val="2"/>
      <scheme val="minor"/>
    </font>
    <font>
      <sz val="14"/>
      <color theme="1"/>
      <name val="Calibri"/>
      <family val="2"/>
      <scheme val="minor"/>
    </font>
    <font>
      <b/>
      <sz val="12"/>
      <name val="Arial"/>
      <family val="2"/>
    </font>
    <font>
      <b/>
      <sz val="12"/>
      <color theme="1"/>
      <name val="Arial"/>
      <family val="2"/>
    </font>
    <font>
      <b/>
      <sz val="14"/>
      <color theme="1"/>
      <name val="Calibri"/>
      <family val="2"/>
      <scheme val="minor"/>
    </font>
    <font>
      <b/>
      <sz val="12"/>
      <color theme="1"/>
      <name val="Calibri"/>
      <family val="2"/>
      <scheme val="minor"/>
    </font>
    <font>
      <b/>
      <sz val="10"/>
      <name val="Calibri"/>
      <family val="2"/>
    </font>
    <font>
      <b/>
      <sz val="9"/>
      <name val="Arial"/>
      <family val="2"/>
    </font>
    <font>
      <sz val="10"/>
      <name val="Calibri"/>
      <family val="2"/>
      <scheme val="minor"/>
    </font>
    <font>
      <b/>
      <sz val="11"/>
      <name val="Calibri"/>
      <family val="2"/>
      <scheme val="minor"/>
    </font>
    <font>
      <sz val="11"/>
      <color theme="1"/>
      <name val="Calibri"/>
      <family val="2"/>
    </font>
    <font>
      <b/>
      <sz val="18"/>
      <color theme="1"/>
      <name val="Arial"/>
      <family val="2"/>
    </font>
    <font>
      <i/>
      <sz val="11"/>
      <color theme="1"/>
      <name val="Calibri"/>
      <family val="2"/>
      <scheme val="minor"/>
    </font>
    <font>
      <sz val="11"/>
      <name val="Calibri"/>
      <family val="2"/>
      <scheme val="minor"/>
    </font>
    <font>
      <b/>
      <sz val="12"/>
      <color theme="1"/>
      <name val="Calibri"/>
      <family val="2"/>
    </font>
    <font>
      <b/>
      <sz val="14"/>
      <color theme="1"/>
      <name val="Calibri"/>
      <family val="2"/>
    </font>
    <font>
      <sz val="11"/>
      <color theme="0"/>
      <name val="Calibri"/>
      <family val="2"/>
      <scheme val="minor"/>
    </font>
    <font>
      <b/>
      <sz val="9.9"/>
      <color theme="1"/>
      <name val="Calibri"/>
      <family val="2"/>
    </font>
    <font>
      <b/>
      <sz val="16"/>
      <color theme="1"/>
      <name val="Arial"/>
      <family val="2"/>
    </font>
    <font>
      <sz val="8"/>
      <name val="Calibri"/>
      <family val="2"/>
      <scheme val="minor"/>
    </font>
    <font>
      <sz val="8"/>
      <name val="Calibri"/>
      <family val="2"/>
    </font>
    <font>
      <i/>
      <sz val="10"/>
      <color theme="1"/>
      <name val="Calibri"/>
      <family val="2"/>
      <scheme val="minor"/>
    </font>
    <font>
      <i/>
      <sz val="12"/>
      <color theme="1"/>
      <name val="Calibri"/>
      <family val="2"/>
      <scheme val="minor"/>
    </font>
    <font>
      <sz val="9"/>
      <color theme="1"/>
      <name val="Calibri"/>
      <family val="2"/>
    </font>
    <font>
      <sz val="9.9"/>
      <color theme="1"/>
      <name val="Calibri"/>
      <family val="2"/>
    </font>
    <font>
      <sz val="10"/>
      <name val="Arial"/>
      <family val="2"/>
    </font>
    <font>
      <b/>
      <i/>
      <sz val="11"/>
      <color theme="1"/>
      <name val="Calibri"/>
      <family val="2"/>
      <scheme val="minor"/>
    </font>
    <font>
      <b/>
      <sz val="10"/>
      <color rgb="FFC00000"/>
      <name val="Arial"/>
      <family val="2"/>
    </font>
    <font>
      <b/>
      <sz val="11"/>
      <color rgb="FFC00000"/>
      <name val="Arial"/>
      <family val="2"/>
    </font>
    <font>
      <b/>
      <sz val="11"/>
      <name val="Arial"/>
      <family val="2"/>
    </font>
    <font>
      <sz val="11"/>
      <name val="Calibri"/>
      <family val="2"/>
    </font>
    <font>
      <b/>
      <u/>
      <sz val="11"/>
      <color theme="10"/>
      <name val="Calibri"/>
      <family val="2"/>
      <scheme val="minor"/>
    </font>
    <font>
      <b/>
      <sz val="16"/>
      <color theme="1"/>
      <name val="Calibri"/>
      <family val="2"/>
      <scheme val="minor"/>
    </font>
    <font>
      <u/>
      <sz val="7"/>
      <color indexed="12"/>
      <name val="Arial"/>
      <family val="2"/>
    </font>
    <font>
      <b/>
      <sz val="8"/>
      <name val="Arial"/>
      <family val="2"/>
    </font>
    <font>
      <sz val="10"/>
      <name val="Arial"/>
      <family val="2"/>
    </font>
    <font>
      <b/>
      <sz val="11"/>
      <color rgb="FFC0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8"/>
      <name val="Arial"/>
      <family val="2"/>
    </font>
    <font>
      <b/>
      <sz val="20"/>
      <color theme="1"/>
      <name val="Arial"/>
      <family val="2"/>
    </font>
    <font>
      <i/>
      <sz val="11"/>
      <color theme="1"/>
      <name val="Calibri"/>
      <family val="2"/>
    </font>
    <font>
      <i/>
      <sz val="10"/>
      <color theme="1"/>
      <name val="Arial"/>
      <family val="2"/>
    </font>
  </fonts>
  <fills count="4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C00000"/>
        <bgColor indexed="64"/>
      </patternFill>
    </fill>
    <fill>
      <patternFill patternType="solid">
        <fgColor rgb="FFFD6B6B"/>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rgb="FF0070C0"/>
        <bgColor indexed="64"/>
      </patternFill>
    </fill>
    <fill>
      <patternFill patternType="solid">
        <fgColor rgb="FF062B03"/>
        <bgColor indexed="64"/>
      </patternFill>
    </fill>
    <fill>
      <patternFill patternType="solid">
        <fgColor rgb="FFFFC000"/>
        <bgColor indexed="64"/>
      </patternFill>
    </fill>
  </fills>
  <borders count="8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67">
    <xf numFmtId="0" fontId="0" fillId="0" borderId="0"/>
    <xf numFmtId="0" fontId="4" fillId="0" borderId="0"/>
    <xf numFmtId="0" fontId="2" fillId="0" borderId="0"/>
    <xf numFmtId="0" fontId="7" fillId="0" borderId="0" applyNumberForma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2" fillId="0" borderId="0"/>
    <xf numFmtId="43" fontId="10" fillId="0" borderId="0" applyFont="0" applyFill="0" applyBorder="0" applyAlignment="0" applyProtection="0"/>
    <xf numFmtId="41" fontId="10" fillId="0" borderId="0" applyFont="0" applyFill="0" applyBorder="0" applyAlignment="0" applyProtection="0"/>
    <xf numFmtId="0" fontId="41" fillId="0" borderId="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0" fontId="2" fillId="0" borderId="0"/>
    <xf numFmtId="43" fontId="10" fillId="0" borderId="0" applyFont="0" applyFill="0" applyBorder="0" applyAlignment="0" applyProtection="0"/>
    <xf numFmtId="0" fontId="49" fillId="0" borderId="0" applyNumberFormat="0" applyFill="0" applyBorder="0" applyAlignment="0" applyProtection="0">
      <alignment vertical="top"/>
      <protection locked="0"/>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1" fillId="0" borderId="0"/>
    <xf numFmtId="0" fontId="53" fillId="0" borderId="0" applyNumberFormat="0" applyFill="0" applyBorder="0" applyAlignment="0" applyProtection="0"/>
    <xf numFmtId="0" fontId="54" fillId="0" borderId="72" applyNumberFormat="0" applyFill="0" applyAlignment="0" applyProtection="0"/>
    <xf numFmtId="0" fontId="55" fillId="0" borderId="73" applyNumberFormat="0" applyFill="0" applyAlignment="0" applyProtection="0"/>
    <xf numFmtId="0" fontId="56" fillId="0" borderId="74" applyNumberFormat="0" applyFill="0" applyAlignment="0" applyProtection="0"/>
    <xf numFmtId="0" fontId="56" fillId="0" borderId="0" applyNumberFormat="0" applyFill="0" applyBorder="0" applyAlignment="0" applyProtection="0"/>
    <xf numFmtId="0" fontId="57" fillId="14" borderId="0" applyNumberFormat="0" applyBorder="0" applyAlignment="0" applyProtection="0"/>
    <xf numFmtId="0" fontId="58" fillId="15" borderId="0" applyNumberFormat="0" applyBorder="0" applyAlignment="0" applyProtection="0"/>
    <xf numFmtId="0" fontId="59" fillId="16" borderId="0" applyNumberFormat="0" applyBorder="0" applyAlignment="0" applyProtection="0"/>
    <xf numFmtId="0" fontId="60" fillId="17" borderId="75" applyNumberFormat="0" applyAlignment="0" applyProtection="0"/>
    <xf numFmtId="0" fontId="61" fillId="18" borderId="76" applyNumberFormat="0" applyAlignment="0" applyProtection="0"/>
    <xf numFmtId="0" fontId="62" fillId="18" borderId="75" applyNumberFormat="0" applyAlignment="0" applyProtection="0"/>
    <xf numFmtId="0" fontId="63" fillId="0" borderId="77" applyNumberFormat="0" applyFill="0" applyAlignment="0" applyProtection="0"/>
    <xf numFmtId="0" fontId="64" fillId="19" borderId="78" applyNumberFormat="0" applyAlignment="0" applyProtection="0"/>
    <xf numFmtId="0" fontId="11" fillId="0" borderId="0" applyNumberFormat="0" applyFill="0" applyBorder="0" applyAlignment="0" applyProtection="0"/>
    <xf numFmtId="0" fontId="10" fillId="20" borderId="79" applyNumberFormat="0" applyFont="0" applyAlignment="0" applyProtection="0"/>
    <xf numFmtId="0" fontId="65" fillId="0" borderId="0" applyNumberFormat="0" applyFill="0" applyBorder="0" applyAlignment="0" applyProtection="0"/>
    <xf numFmtId="0" fontId="1" fillId="0" borderId="80" applyNumberFormat="0" applyFill="0" applyAlignment="0" applyProtection="0"/>
    <xf numFmtId="0" fontId="32"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32"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32"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32"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32"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2"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995">
    <xf numFmtId="0" fontId="0" fillId="0" borderId="0" xfId="0"/>
    <xf numFmtId="0" fontId="2" fillId="0" borderId="0" xfId="0" applyFont="1" applyFill="1" applyBorder="1"/>
    <xf numFmtId="0" fontId="0" fillId="0" borderId="0" xfId="0" applyFill="1" applyBorder="1"/>
    <xf numFmtId="0" fontId="2" fillId="0" borderId="0" xfId="0" applyFont="1" applyFill="1" applyBorder="1" applyAlignment="1">
      <alignment horizontal="right"/>
    </xf>
    <xf numFmtId="0" fontId="3" fillId="0" borderId="0" xfId="0" applyFont="1" applyFill="1" applyBorder="1"/>
    <xf numFmtId="0" fontId="0" fillId="0" borderId="0" xfId="0" applyFill="1"/>
    <xf numFmtId="0" fontId="1" fillId="0" borderId="0" xfId="0" applyFont="1"/>
    <xf numFmtId="0" fontId="1" fillId="0" borderId="0" xfId="0" applyFont="1" applyFill="1" applyBorder="1"/>
    <xf numFmtId="0" fontId="1" fillId="0" borderId="0" xfId="0" applyFont="1" applyFill="1"/>
    <xf numFmtId="1" fontId="0" fillId="0" borderId="0" xfId="0" applyNumberFormat="1"/>
    <xf numFmtId="164" fontId="0" fillId="0" borderId="0" xfId="0" applyNumberFormat="1"/>
    <xf numFmtId="165" fontId="0" fillId="0" borderId="0" xfId="0" applyNumberFormat="1"/>
    <xf numFmtId="0" fontId="0" fillId="0" borderId="0" xfId="0" applyAlignment="1">
      <alignment wrapText="1"/>
    </xf>
    <xf numFmtId="0" fontId="3" fillId="0" borderId="0" xfId="0" applyFont="1" applyFill="1" applyBorder="1" applyAlignment="1">
      <alignment horizontal="right"/>
    </xf>
    <xf numFmtId="0" fontId="1" fillId="0" borderId="0" xfId="0" applyFont="1" applyFill="1" applyBorder="1" applyAlignment="1">
      <alignment wrapText="1"/>
    </xf>
    <xf numFmtId="0" fontId="0" fillId="0" borderId="0" xfId="0" applyFill="1" applyBorder="1" applyAlignment="1">
      <alignment wrapText="1"/>
    </xf>
    <xf numFmtId="0" fontId="1" fillId="0" borderId="0" xfId="0" applyFont="1" applyAlignment="1">
      <alignment wrapText="1"/>
    </xf>
    <xf numFmtId="0" fontId="2" fillId="0" borderId="0" xfId="0" applyFont="1" applyFill="1" applyBorder="1" applyAlignment="1">
      <alignment horizontal="center"/>
    </xf>
    <xf numFmtId="166" fontId="0" fillId="0" borderId="0" xfId="0" applyNumberFormat="1"/>
    <xf numFmtId="166" fontId="1" fillId="0" borderId="0" xfId="0" applyNumberFormat="1" applyFont="1"/>
    <xf numFmtId="164" fontId="1" fillId="0" borderId="0" xfId="0" applyNumberFormat="1" applyFont="1"/>
    <xf numFmtId="0" fontId="1" fillId="0" borderId="0" xfId="0" applyFont="1" applyAlignment="1">
      <alignment horizontal="center"/>
    </xf>
    <xf numFmtId="10" fontId="0" fillId="0" borderId="0" xfId="0" applyNumberFormat="1"/>
    <xf numFmtId="0" fontId="8" fillId="0" borderId="0" xfId="0" applyFont="1" applyFill="1" applyBorder="1"/>
    <xf numFmtId="0" fontId="2" fillId="0" borderId="0" xfId="0" applyFont="1" applyFill="1" applyAlignment="1">
      <alignment horizontal="left"/>
    </xf>
    <xf numFmtId="0" fontId="9" fillId="0" borderId="0" xfId="0" applyFont="1"/>
    <xf numFmtId="0" fontId="9" fillId="0" borderId="0" xfId="0" applyFont="1" applyFill="1" applyBorder="1"/>
    <xf numFmtId="0" fontId="9" fillId="0" borderId="0" xfId="0" applyFont="1" applyFill="1"/>
    <xf numFmtId="166" fontId="3" fillId="0" borderId="0" xfId="0" applyNumberFormat="1" applyFont="1" applyFill="1" applyBorder="1"/>
    <xf numFmtId="0" fontId="0" fillId="0" borderId="0" xfId="0" applyAlignment="1">
      <alignment horizontal="center"/>
    </xf>
    <xf numFmtId="167" fontId="2" fillId="0" borderId="0" xfId="0" applyNumberFormat="1" applyFont="1" applyFill="1" applyAlignment="1">
      <alignment horizontal="left"/>
    </xf>
    <xf numFmtId="0" fontId="3" fillId="0" borderId="0" xfId="0" applyFont="1" applyFill="1" applyBorder="1" applyAlignment="1">
      <alignment horizontal="left"/>
    </xf>
    <xf numFmtId="0" fontId="2" fillId="0" borderId="0" xfId="0" applyFont="1" applyFill="1" applyBorder="1" applyAlignment="1">
      <alignment horizontal="left"/>
    </xf>
    <xf numFmtId="168" fontId="0" fillId="0" borderId="0" xfId="0" applyNumberFormat="1"/>
    <xf numFmtId="164" fontId="0" fillId="0" borderId="0" xfId="0" applyNumberFormat="1" applyFont="1" applyAlignment="1">
      <alignment horizontal="center"/>
    </xf>
    <xf numFmtId="10" fontId="0" fillId="0" borderId="0" xfId="0" applyNumberFormat="1" applyAlignment="1">
      <alignment horizontal="center"/>
    </xf>
    <xf numFmtId="0" fontId="2" fillId="0" borderId="1" xfId="0" applyFont="1" applyFill="1" applyBorder="1" applyAlignment="1">
      <alignment horizontal="right"/>
    </xf>
    <xf numFmtId="0" fontId="3" fillId="0" borderId="1" xfId="0" applyFont="1" applyFill="1" applyBorder="1"/>
    <xf numFmtId="0" fontId="3" fillId="0" borderId="1" xfId="0" applyFont="1" applyFill="1" applyBorder="1" applyAlignment="1">
      <alignment horizontal="left"/>
    </xf>
    <xf numFmtId="0" fontId="0" fillId="0" borderId="1" xfId="0" applyFill="1" applyBorder="1"/>
    <xf numFmtId="0" fontId="2" fillId="0" borderId="1" xfId="0" applyFont="1" applyFill="1" applyBorder="1" applyAlignment="1">
      <alignment horizontal="left"/>
    </xf>
    <xf numFmtId="0" fontId="0" fillId="0" borderId="2" xfId="0" applyBorder="1" applyAlignment="1">
      <alignment wrapText="1"/>
    </xf>
    <xf numFmtId="0" fontId="0" fillId="0" borderId="2" xfId="0" applyBorder="1"/>
    <xf numFmtId="0" fontId="0" fillId="0" borderId="0" xfId="0" applyBorder="1" applyAlignment="1">
      <alignment wrapText="1"/>
    </xf>
    <xf numFmtId="0" fontId="0" fillId="0" borderId="0" xfId="0" applyBorder="1"/>
    <xf numFmtId="0" fontId="1" fillId="0" borderId="0" xfId="0" applyFont="1" applyBorder="1"/>
    <xf numFmtId="0" fontId="1" fillId="0" borderId="3" xfId="0" applyFont="1" applyFill="1" applyBorder="1" applyAlignment="1">
      <alignment wrapText="1"/>
    </xf>
    <xf numFmtId="0" fontId="2" fillId="0" borderId="3" xfId="0" applyFont="1" applyFill="1" applyBorder="1"/>
    <xf numFmtId="0" fontId="0" fillId="0" borderId="3" xfId="0" applyBorder="1"/>
    <xf numFmtId="0" fontId="0" fillId="0" borderId="3" xfId="0" applyFill="1" applyBorder="1"/>
    <xf numFmtId="0" fontId="1" fillId="0" borderId="3" xfId="0" applyFont="1" applyBorder="1" applyAlignment="1">
      <alignment wrapText="1"/>
    </xf>
    <xf numFmtId="0" fontId="3" fillId="0" borderId="3" xfId="0" applyFont="1" applyFill="1" applyBorder="1"/>
    <xf numFmtId="0" fontId="9" fillId="0" borderId="3" xfId="0" applyFont="1" applyBorder="1"/>
    <xf numFmtId="0" fontId="3" fillId="0" borderId="2" xfId="0" applyFont="1" applyFill="1" applyBorder="1"/>
    <xf numFmtId="0" fontId="3" fillId="0" borderId="2" xfId="0" applyFont="1" applyFill="1" applyBorder="1" applyAlignment="1">
      <alignment horizontal="left"/>
    </xf>
    <xf numFmtId="169" fontId="1" fillId="0" borderId="0" xfId="0" applyNumberFormat="1" applyFont="1"/>
    <xf numFmtId="0" fontId="1" fillId="0" borderId="3" xfId="0" applyFont="1" applyBorder="1"/>
    <xf numFmtId="169" fontId="1" fillId="0" borderId="3" xfId="0" applyNumberFormat="1" applyFont="1" applyBorder="1"/>
    <xf numFmtId="164" fontId="0" fillId="0" borderId="3" xfId="0" applyNumberFormat="1" applyBorder="1"/>
    <xf numFmtId="10" fontId="0" fillId="0" borderId="3" xfId="0" applyNumberFormat="1" applyBorder="1"/>
    <xf numFmtId="0" fontId="0" fillId="0" borderId="3" xfId="0" applyBorder="1" applyAlignment="1">
      <alignment horizontal="center"/>
    </xf>
    <xf numFmtId="0" fontId="0" fillId="0" borderId="0" xfId="0" applyBorder="1" applyAlignment="1">
      <alignment horizontal="center"/>
    </xf>
    <xf numFmtId="2" fontId="0" fillId="0" borderId="0" xfId="0" applyNumberFormat="1"/>
    <xf numFmtId="164" fontId="0" fillId="0" borderId="0" xfId="0" applyNumberFormat="1" applyAlignment="1">
      <alignment horizontal="center"/>
    </xf>
    <xf numFmtId="0" fontId="11" fillId="0" borderId="3" xfId="0" applyFont="1" applyBorder="1"/>
    <xf numFmtId="0" fontId="12" fillId="0" borderId="0" xfId="0" applyFont="1" applyFill="1" applyBorder="1"/>
    <xf numFmtId="0" fontId="2" fillId="0" borderId="1" xfId="0" applyFont="1" applyFill="1" applyBorder="1" applyAlignment="1">
      <alignment horizontal="center"/>
    </xf>
    <xf numFmtId="0" fontId="0" fillId="0" borderId="1" xfId="0" applyFont="1" applyFill="1" applyBorder="1"/>
    <xf numFmtId="0" fontId="13" fillId="0" borderId="0" xfId="0" applyFont="1" applyAlignment="1"/>
    <xf numFmtId="164" fontId="0" fillId="0" borderId="0" xfId="0" applyNumberFormat="1" applyFont="1" applyAlignment="1">
      <alignment wrapText="1"/>
    </xf>
    <xf numFmtId="0" fontId="0" fillId="0" borderId="4" xfId="0" applyBorder="1"/>
    <xf numFmtId="0" fontId="0" fillId="0" borderId="0" xfId="0"/>
    <xf numFmtId="3" fontId="0" fillId="0" borderId="0" xfId="0" applyNumberFormat="1"/>
    <xf numFmtId="0" fontId="14" fillId="0" borderId="0" xfId="0" applyFont="1" applyFill="1"/>
    <xf numFmtId="0" fontId="8" fillId="0" borderId="3" xfId="0" applyFont="1" applyFill="1" applyBorder="1"/>
    <xf numFmtId="0" fontId="2" fillId="0" borderId="3" xfId="0" applyFont="1" applyFill="1" applyBorder="1" applyAlignment="1">
      <alignment horizontal="left"/>
    </xf>
    <xf numFmtId="0" fontId="1" fillId="0" borderId="0" xfId="0" applyFont="1" applyBorder="1" applyAlignment="1">
      <alignment wrapText="1"/>
    </xf>
    <xf numFmtId="1" fontId="0" fillId="0" borderId="0" xfId="0" applyNumberFormat="1" applyAlignment="1">
      <alignment horizontal="center"/>
    </xf>
    <xf numFmtId="0" fontId="6" fillId="0" borderId="0" xfId="0" applyFont="1" applyAlignment="1">
      <alignment horizontal="center"/>
    </xf>
    <xf numFmtId="0" fontId="1" fillId="2" borderId="0" xfId="0" applyFont="1" applyFill="1"/>
    <xf numFmtId="0" fontId="0" fillId="2" borderId="0" xfId="0" applyFill="1"/>
    <xf numFmtId="168" fontId="1" fillId="0" borderId="0" xfId="0" applyNumberFormat="1" applyFont="1" applyBorder="1"/>
    <xf numFmtId="1" fontId="0" fillId="0" borderId="0" xfId="0" applyNumberFormat="1" applyAlignment="1">
      <alignment horizontal="center" vertical="center"/>
    </xf>
    <xf numFmtId="1" fontId="1" fillId="0" borderId="0" xfId="0" applyNumberFormat="1" applyFont="1" applyBorder="1" applyAlignment="1">
      <alignment horizontal="center"/>
    </xf>
    <xf numFmtId="0" fontId="16" fillId="0" borderId="0" xfId="3" applyFont="1" applyAlignment="1">
      <alignment wrapText="1"/>
    </xf>
    <xf numFmtId="0" fontId="17" fillId="0" borderId="0" xfId="0" applyFont="1"/>
    <xf numFmtId="0" fontId="18" fillId="0" borderId="0" xfId="0" applyFont="1" applyFill="1" applyBorder="1" applyAlignment="1">
      <alignment horizontal="left"/>
    </xf>
    <xf numFmtId="0" fontId="19" fillId="0" borderId="0" xfId="0" applyFont="1" applyFill="1"/>
    <xf numFmtId="0" fontId="18" fillId="0" borderId="0" xfId="0" applyFont="1" applyFill="1" applyBorder="1"/>
    <xf numFmtId="0" fontId="15" fillId="0" borderId="0" xfId="0" applyFont="1" applyFill="1" applyBorder="1"/>
    <xf numFmtId="0" fontId="0" fillId="0" borderId="0" xfId="0" applyAlignment="1">
      <alignment horizontal="center" vertical="center"/>
    </xf>
    <xf numFmtId="0" fontId="0" fillId="0" borderId="0" xfId="0"/>
    <xf numFmtId="0" fontId="7" fillId="0" borderId="0" xfId="3"/>
    <xf numFmtId="0" fontId="0" fillId="0" borderId="1" xfId="0" applyBorder="1"/>
    <xf numFmtId="168" fontId="1" fillId="0" borderId="0" xfId="0" applyNumberFormat="1" applyFont="1"/>
    <xf numFmtId="0" fontId="20" fillId="0" borderId="0" xfId="0" applyFont="1" applyBorder="1"/>
    <xf numFmtId="169" fontId="1" fillId="0" borderId="0" xfId="0" applyNumberFormat="1" applyFont="1" applyAlignment="1">
      <alignment wrapText="1"/>
    </xf>
    <xf numFmtId="0" fontId="21" fillId="0" borderId="0" xfId="0" applyFont="1"/>
    <xf numFmtId="0" fontId="1" fillId="0" borderId="1" xfId="0" applyFont="1" applyBorder="1" applyAlignment="1">
      <alignment horizontal="center"/>
    </xf>
    <xf numFmtId="0" fontId="0" fillId="0" borderId="0" xfId="0" applyFill="1" applyAlignment="1">
      <alignment horizontal="center"/>
    </xf>
    <xf numFmtId="0" fontId="1" fillId="0" borderId="0" xfId="0" applyFont="1" applyBorder="1" applyAlignment="1">
      <alignment horizontal="center"/>
    </xf>
    <xf numFmtId="1" fontId="0" fillId="0" borderId="0" xfId="0" applyNumberFormat="1" applyBorder="1" applyAlignment="1">
      <alignment horizontal="center"/>
    </xf>
    <xf numFmtId="164" fontId="0" fillId="0" borderId="0" xfId="0" applyNumberFormat="1" applyFont="1" applyBorder="1" applyAlignment="1">
      <alignment horizontal="center"/>
    </xf>
    <xf numFmtId="9" fontId="0" fillId="0" borderId="0" xfId="4" applyFont="1" applyBorder="1"/>
    <xf numFmtId="0" fontId="3" fillId="4" borderId="1" xfId="0" applyFont="1" applyFill="1" applyBorder="1" applyAlignment="1">
      <alignment horizontal="left"/>
    </xf>
    <xf numFmtId="0" fontId="3" fillId="4" borderId="1" xfId="0" applyFont="1" applyFill="1" applyBorder="1" applyAlignment="1">
      <alignment horizontal="center"/>
    </xf>
    <xf numFmtId="0" fontId="0" fillId="4" borderId="0" xfId="0" applyFill="1"/>
    <xf numFmtId="0" fontId="3" fillId="4" borderId="0" xfId="0" applyFont="1" applyFill="1" applyBorder="1"/>
    <xf numFmtId="0" fontId="0" fillId="4" borderId="0" xfId="0" applyFill="1" applyBorder="1"/>
    <xf numFmtId="0" fontId="3" fillId="4" borderId="1" xfId="0" applyFont="1" applyFill="1" applyBorder="1" applyAlignment="1">
      <alignment horizontal="center" vertical="center"/>
    </xf>
    <xf numFmtId="0" fontId="0" fillId="4" borderId="1" xfId="0" applyFill="1" applyBorder="1"/>
    <xf numFmtId="0" fontId="1" fillId="4" borderId="1" xfId="0" applyFont="1" applyFill="1" applyBorder="1" applyAlignment="1">
      <alignment horizontal="center" wrapText="1"/>
    </xf>
    <xf numFmtId="0" fontId="1" fillId="4" borderId="1" xfId="0" applyFont="1" applyFill="1" applyBorder="1" applyAlignment="1">
      <alignment horizontal="center"/>
    </xf>
    <xf numFmtId="0" fontId="1" fillId="4" borderId="6" xfId="0" applyFont="1" applyFill="1" applyBorder="1" applyAlignment="1">
      <alignment horizontal="center" wrapText="1"/>
    </xf>
    <xf numFmtId="165" fontId="0" fillId="0" borderId="0" xfId="0" applyNumberFormat="1" applyBorder="1"/>
    <xf numFmtId="164" fontId="0" fillId="0" borderId="0" xfId="0" applyNumberFormat="1" applyBorder="1" applyAlignment="1">
      <alignment horizontal="center"/>
    </xf>
    <xf numFmtId="1" fontId="0" fillId="0" borderId="0" xfId="0" applyNumberFormat="1" applyBorder="1"/>
    <xf numFmtId="0" fontId="1" fillId="4" borderId="7" xfId="0" applyFont="1" applyFill="1" applyBorder="1" applyAlignment="1">
      <alignment horizontal="center" wrapText="1"/>
    </xf>
    <xf numFmtId="164" fontId="0" fillId="0" borderId="7" xfId="0" applyNumberFormat="1" applyBorder="1" applyAlignment="1">
      <alignment horizontal="center"/>
    </xf>
    <xf numFmtId="170" fontId="0" fillId="0" borderId="0" xfId="0" applyNumberFormat="1" applyBorder="1" applyAlignment="1">
      <alignment horizontal="center"/>
    </xf>
    <xf numFmtId="164" fontId="1" fillId="4" borderId="6" xfId="0" applyNumberFormat="1" applyFont="1" applyFill="1" applyBorder="1" applyAlignment="1">
      <alignment horizontal="center" wrapText="1"/>
    </xf>
    <xf numFmtId="169" fontId="0" fillId="4" borderId="1" xfId="0" applyNumberFormat="1" applyFill="1" applyBorder="1"/>
    <xf numFmtId="169" fontId="0" fillId="3" borderId="1" xfId="0" applyNumberFormat="1" applyFill="1" applyBorder="1"/>
    <xf numFmtId="0" fontId="1" fillId="4" borderId="7" xfId="0" applyFont="1" applyFill="1" applyBorder="1"/>
    <xf numFmtId="0" fontId="1" fillId="4" borderId="7" xfId="0" applyFont="1" applyFill="1" applyBorder="1" applyAlignment="1">
      <alignment horizontal="center"/>
    </xf>
    <xf numFmtId="0" fontId="3" fillId="4" borderId="1" xfId="0" applyFont="1" applyFill="1" applyBorder="1"/>
    <xf numFmtId="0" fontId="1" fillId="4" borderId="7" xfId="0" applyFont="1" applyFill="1" applyBorder="1" applyAlignment="1">
      <alignment horizontal="center" vertical="center"/>
    </xf>
    <xf numFmtId="9" fontId="0" fillId="2" borderId="7" xfId="4" applyFont="1" applyFill="1" applyBorder="1" applyAlignment="1">
      <alignment horizontal="center"/>
    </xf>
    <xf numFmtId="0" fontId="1" fillId="2" borderId="7" xfId="0" applyFont="1" applyFill="1" applyBorder="1" applyAlignment="1">
      <alignment horizontal="left"/>
    </xf>
    <xf numFmtId="169" fontId="0" fillId="2" borderId="7" xfId="0" applyNumberFormat="1" applyFill="1" applyBorder="1" applyAlignment="1">
      <alignment horizontal="center"/>
    </xf>
    <xf numFmtId="0" fontId="24" fillId="0" borderId="0" xfId="0" applyFont="1" applyFill="1" applyBorder="1"/>
    <xf numFmtId="164" fontId="0" fillId="0" borderId="7" xfId="0" applyNumberFormat="1" applyFont="1" applyBorder="1" applyAlignment="1">
      <alignment wrapText="1"/>
    </xf>
    <xf numFmtId="0" fontId="0" fillId="0" borderId="7" xfId="0" applyBorder="1"/>
    <xf numFmtId="2" fontId="0" fillId="0" borderId="0" xfId="0" applyNumberFormat="1" applyAlignment="1">
      <alignment horizontal="center"/>
    </xf>
    <xf numFmtId="0" fontId="0" fillId="0" borderId="0" xfId="0" applyFont="1"/>
    <xf numFmtId="0" fontId="1" fillId="0" borderId="7" xfId="0" applyFont="1" applyBorder="1"/>
    <xf numFmtId="170" fontId="0" fillId="0" borderId="7" xfId="0" applyNumberFormat="1" applyBorder="1" applyAlignment="1">
      <alignment horizontal="center"/>
    </xf>
    <xf numFmtId="170" fontId="0" fillId="0" borderId="4" xfId="0" applyNumberFormat="1" applyBorder="1" applyAlignment="1">
      <alignment horizontal="center"/>
    </xf>
    <xf numFmtId="169" fontId="0" fillId="2" borderId="7" xfId="4" applyNumberFormat="1" applyFont="1" applyFill="1" applyBorder="1" applyAlignment="1">
      <alignment horizontal="center"/>
    </xf>
    <xf numFmtId="171" fontId="0" fillId="0" borderId="7" xfId="0" applyNumberFormat="1" applyBorder="1" applyAlignment="1">
      <alignment horizontal="center"/>
    </xf>
    <xf numFmtId="0" fontId="1" fillId="4" borderId="6" xfId="0" applyFont="1" applyFill="1" applyBorder="1"/>
    <xf numFmtId="0" fontId="1" fillId="4" borderId="8" xfId="0" applyFont="1" applyFill="1" applyBorder="1" applyAlignment="1">
      <alignment horizontal="center" wrapText="1"/>
    </xf>
    <xf numFmtId="170" fontId="0" fillId="0" borderId="9" xfId="0" applyNumberFormat="1" applyBorder="1" applyAlignment="1">
      <alignment horizontal="center"/>
    </xf>
    <xf numFmtId="0" fontId="0" fillId="0" borderId="5" xfId="0" applyBorder="1"/>
    <xf numFmtId="170" fontId="0" fillId="0" borderId="5" xfId="0" applyNumberFormat="1" applyBorder="1" applyAlignment="1">
      <alignment horizontal="center"/>
    </xf>
    <xf numFmtId="170" fontId="0" fillId="0" borderId="2" xfId="0" applyNumberFormat="1" applyBorder="1" applyAlignment="1">
      <alignment horizontal="center"/>
    </xf>
    <xf numFmtId="170" fontId="0" fillId="0" borderId="10" xfId="0" applyNumberFormat="1" applyBorder="1" applyAlignment="1">
      <alignment horizontal="center"/>
    </xf>
    <xf numFmtId="166" fontId="3" fillId="0" borderId="1" xfId="0" applyNumberFormat="1" applyFont="1" applyFill="1" applyBorder="1"/>
    <xf numFmtId="166" fontId="0" fillId="0" borderId="1" xfId="0" applyNumberFormat="1" applyFill="1" applyBorder="1"/>
    <xf numFmtId="166" fontId="0" fillId="0" borderId="0" xfId="0" applyNumberFormat="1" applyFill="1" applyBorder="1"/>
    <xf numFmtId="170" fontId="2" fillId="0" borderId="0" xfId="5" applyNumberFormat="1" applyFont="1" applyFill="1" applyBorder="1" applyAlignment="1">
      <alignment horizontal="center"/>
    </xf>
    <xf numFmtId="170" fontId="0" fillId="0" borderId="7" xfId="0" applyNumberFormat="1" applyBorder="1" applyAlignment="1">
      <alignment horizontal="center" vertical="center"/>
    </xf>
    <xf numFmtId="0" fontId="2" fillId="4" borderId="6" xfId="0" applyFont="1" applyFill="1" applyBorder="1" applyAlignment="1">
      <alignment horizontal="center" vertical="center"/>
    </xf>
    <xf numFmtId="166" fontId="3" fillId="4" borderId="1" xfId="0" applyNumberFormat="1" applyFont="1" applyFill="1" applyBorder="1"/>
    <xf numFmtId="0" fontId="2" fillId="4" borderId="6" xfId="0" applyFont="1" applyFill="1" applyBorder="1" applyAlignment="1">
      <alignment horizontal="center"/>
    </xf>
    <xf numFmtId="170" fontId="0" fillId="0" borderId="7" xfId="5" applyNumberFormat="1" applyFont="1" applyBorder="1" applyAlignment="1">
      <alignment horizontal="center"/>
    </xf>
    <xf numFmtId="0" fontId="27" fillId="0" borderId="0" xfId="0" applyFont="1" applyAlignment="1"/>
    <xf numFmtId="164" fontId="0" fillId="0" borderId="9" xfId="0" applyNumberFormat="1" applyFont="1" applyBorder="1" applyAlignment="1">
      <alignment horizontal="center"/>
    </xf>
    <xf numFmtId="164" fontId="0" fillId="0" borderId="10" xfId="0" applyNumberFormat="1" applyFont="1" applyBorder="1" applyAlignment="1">
      <alignment horizontal="center"/>
    </xf>
    <xf numFmtId="164" fontId="0" fillId="0" borderId="4" xfId="0" applyNumberFormat="1" applyFont="1" applyBorder="1" applyAlignment="1">
      <alignment horizontal="center"/>
    </xf>
    <xf numFmtId="0" fontId="2" fillId="0" borderId="0" xfId="7" applyNumberFormat="1"/>
    <xf numFmtId="0" fontId="2" fillId="0" borderId="0" xfId="7"/>
    <xf numFmtId="172" fontId="2" fillId="0" borderId="0" xfId="7" applyNumberFormat="1"/>
    <xf numFmtId="2" fontId="2" fillId="0" borderId="0" xfId="7" applyNumberFormat="1"/>
    <xf numFmtId="170" fontId="2" fillId="0" borderId="0" xfId="7" applyNumberFormat="1"/>
    <xf numFmtId="166" fontId="1" fillId="3" borderId="1" xfId="0" applyNumberFormat="1" applyFont="1" applyFill="1" applyBorder="1" applyAlignment="1">
      <alignment horizontal="center"/>
    </xf>
    <xf numFmtId="0" fontId="28" fillId="0" borderId="0" xfId="0" applyFont="1"/>
    <xf numFmtId="164" fontId="0" fillId="0" borderId="0" xfId="0" applyNumberFormat="1" applyBorder="1"/>
    <xf numFmtId="10" fontId="0" fillId="0" borderId="0" xfId="0" applyNumberFormat="1" applyBorder="1"/>
    <xf numFmtId="9" fontId="0" fillId="0" borderId="7" xfId="4" applyFont="1" applyBorder="1" applyAlignment="1">
      <alignment horizontal="center"/>
    </xf>
    <xf numFmtId="0" fontId="0" fillId="0" borderId="7" xfId="0" applyBorder="1" applyAlignment="1">
      <alignment horizontal="center"/>
    </xf>
    <xf numFmtId="0" fontId="1" fillId="4" borderId="8" xfId="0" applyFont="1" applyFill="1" applyBorder="1" applyAlignment="1">
      <alignment horizontal="center"/>
    </xf>
    <xf numFmtId="0" fontId="0" fillId="0" borderId="14" xfId="0" applyBorder="1"/>
    <xf numFmtId="169" fontId="1" fillId="0" borderId="12" xfId="0" applyNumberFormat="1" applyFont="1" applyBorder="1"/>
    <xf numFmtId="169" fontId="1" fillId="0" borderId="2" xfId="0" applyNumberFormat="1" applyFont="1" applyBorder="1" applyAlignment="1">
      <alignment wrapText="1"/>
    </xf>
    <xf numFmtId="169" fontId="1" fillId="0" borderId="10" xfId="0" applyNumberFormat="1" applyFont="1" applyBorder="1"/>
    <xf numFmtId="0" fontId="1" fillId="4" borderId="6" xfId="0" applyFont="1" applyFill="1" applyBorder="1" applyAlignment="1">
      <alignment horizontal="center" vertical="center"/>
    </xf>
    <xf numFmtId="0" fontId="1" fillId="3" borderId="6" xfId="0" applyFont="1" applyFill="1" applyBorder="1"/>
    <xf numFmtId="164" fontId="1" fillId="3" borderId="8" xfId="4" applyNumberFormat="1" applyFont="1" applyFill="1" applyBorder="1" applyAlignment="1">
      <alignment horizontal="center"/>
    </xf>
    <xf numFmtId="0" fontId="1" fillId="2" borderId="4" xfId="0" applyFont="1" applyFill="1" applyBorder="1"/>
    <xf numFmtId="169" fontId="0" fillId="2" borderId="0" xfId="0" applyNumberFormat="1" applyFill="1" applyBorder="1"/>
    <xf numFmtId="164" fontId="1" fillId="0" borderId="9" xfId="4" applyNumberFormat="1" applyFont="1" applyBorder="1" applyAlignment="1">
      <alignment horizontal="center"/>
    </xf>
    <xf numFmtId="0" fontId="3" fillId="4" borderId="6" xfId="0" applyFont="1" applyFill="1" applyBorder="1" applyAlignment="1">
      <alignment horizontal="center" vertical="center"/>
    </xf>
    <xf numFmtId="0" fontId="3" fillId="4" borderId="8" xfId="0" applyFont="1" applyFill="1"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1" fillId="4" borderId="6" xfId="0" applyFont="1" applyFill="1" applyBorder="1" applyAlignment="1">
      <alignment wrapText="1"/>
    </xf>
    <xf numFmtId="164" fontId="0" fillId="0" borderId="5" xfId="0" applyNumberFormat="1" applyFont="1" applyBorder="1" applyAlignment="1">
      <alignment horizontal="center"/>
    </xf>
    <xf numFmtId="0" fontId="1" fillId="4" borderId="6" xfId="0" applyFont="1" applyFill="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6" fillId="4" borderId="8" xfId="0" applyFont="1" applyFill="1" applyBorder="1" applyAlignment="1">
      <alignment horizontal="center"/>
    </xf>
    <xf numFmtId="169" fontId="0" fillId="0" borderId="0" xfId="0" applyNumberFormat="1"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 fontId="1" fillId="0" borderId="0" xfId="0" applyNumberFormat="1" applyFont="1" applyAlignment="1">
      <alignment horizontal="left"/>
    </xf>
    <xf numFmtId="164" fontId="0" fillId="0" borderId="7" xfId="4" applyNumberFormat="1" applyFont="1" applyBorder="1" applyAlignment="1">
      <alignment horizontal="center"/>
    </xf>
    <xf numFmtId="164" fontId="0" fillId="0" borderId="0" xfId="0" applyNumberFormat="1" applyFont="1" applyBorder="1" applyAlignment="1">
      <alignment wrapText="1"/>
    </xf>
    <xf numFmtId="0" fontId="20" fillId="0" borderId="0" xfId="0" applyFont="1"/>
    <xf numFmtId="9" fontId="0" fillId="2" borderId="0" xfId="4" applyFont="1" applyFill="1" applyBorder="1" applyAlignment="1">
      <alignment horizontal="center"/>
    </xf>
    <xf numFmtId="0" fontId="3" fillId="4" borderId="6" xfId="0" applyFont="1" applyFill="1" applyBorder="1" applyAlignment="1">
      <alignment horizontal="center"/>
    </xf>
    <xf numFmtId="0" fontId="0" fillId="0" borderId="6" xfId="0" applyBorder="1" applyAlignment="1">
      <alignment horizontal="center"/>
    </xf>
    <xf numFmtId="0" fontId="25" fillId="0" borderId="4" xfId="0" applyFont="1" applyFill="1" applyBorder="1" applyAlignment="1">
      <alignment horizontal="left"/>
    </xf>
    <xf numFmtId="0" fontId="25" fillId="0" borderId="5" xfId="0" applyFont="1" applyFill="1" applyBorder="1" applyAlignment="1">
      <alignment horizontal="left"/>
    </xf>
    <xf numFmtId="0" fontId="1" fillId="4" borderId="7" xfId="0" applyFont="1" applyFill="1" applyBorder="1" applyAlignment="1">
      <alignment horizontal="left" wrapText="1"/>
    </xf>
    <xf numFmtId="0" fontId="1" fillId="4" borderId="7" xfId="0" applyFont="1" applyFill="1" applyBorder="1" applyAlignment="1">
      <alignment horizontal="left" vertical="center" wrapText="1"/>
    </xf>
    <xf numFmtId="0" fontId="1" fillId="4" borderId="7" xfId="0" applyFont="1" applyFill="1" applyBorder="1" applyAlignment="1">
      <alignment horizontal="center" vertical="center" wrapText="1"/>
    </xf>
    <xf numFmtId="0" fontId="1" fillId="4" borderId="7" xfId="0" applyFont="1" applyFill="1" applyBorder="1" applyAlignment="1">
      <alignment horizontal="left" vertical="center"/>
    </xf>
    <xf numFmtId="0" fontId="1" fillId="4" borderId="6" xfId="0" applyFont="1" applyFill="1" applyBorder="1" applyAlignment="1">
      <alignment vertical="center"/>
    </xf>
    <xf numFmtId="164" fontId="1" fillId="4" borderId="6" xfId="0" applyNumberFormat="1" applyFont="1" applyFill="1" applyBorder="1" applyAlignment="1">
      <alignment horizontal="center" vertical="center" wrapText="1"/>
    </xf>
    <xf numFmtId="164" fontId="0" fillId="0" borderId="11" xfId="0" applyNumberFormat="1" applyFont="1" applyBorder="1" applyAlignment="1">
      <alignment horizontal="center"/>
    </xf>
    <xf numFmtId="164" fontId="0" fillId="0" borderId="13" xfId="0" applyNumberFormat="1" applyFont="1" applyBorder="1" applyAlignment="1">
      <alignment horizontal="center"/>
    </xf>
    <xf numFmtId="0" fontId="0" fillId="2" borderId="6" xfId="0" applyFont="1" applyFill="1" applyBorder="1"/>
    <xf numFmtId="164" fontId="1" fillId="2" borderId="6" xfId="4" applyNumberFormat="1" applyFont="1" applyFill="1" applyBorder="1" applyAlignment="1">
      <alignment horizontal="center" vertical="center"/>
    </xf>
    <xf numFmtId="164" fontId="1" fillId="2" borderId="7" xfId="4" applyNumberFormat="1" applyFont="1" applyFill="1" applyBorder="1" applyAlignment="1">
      <alignment horizontal="center" vertical="center"/>
    </xf>
    <xf numFmtId="0" fontId="1" fillId="4" borderId="1" xfId="0" applyFont="1" applyFill="1" applyBorder="1" applyAlignment="1">
      <alignment horizontal="center" vertical="center"/>
    </xf>
    <xf numFmtId="0" fontId="0" fillId="2" borderId="0" xfId="0" applyFont="1" applyFill="1" applyBorder="1"/>
    <xf numFmtId="0" fontId="29" fillId="0" borderId="4" xfId="0" applyFont="1" applyFill="1" applyBorder="1"/>
    <xf numFmtId="0" fontId="29" fillId="3" borderId="6" xfId="0" applyFont="1" applyFill="1" applyBorder="1"/>
    <xf numFmtId="0" fontId="1" fillId="4" borderId="7" xfId="0" applyFont="1" applyFill="1" applyBorder="1" applyAlignment="1">
      <alignment wrapText="1"/>
    </xf>
    <xf numFmtId="166" fontId="0" fillId="0" borderId="0" xfId="0" applyNumberFormat="1" applyAlignment="1">
      <alignment wrapText="1"/>
    </xf>
    <xf numFmtId="168" fontId="0" fillId="0" borderId="0" xfId="0" applyNumberFormat="1" applyAlignment="1">
      <alignment wrapText="1"/>
    </xf>
    <xf numFmtId="9" fontId="0" fillId="0" borderId="15" xfId="4" applyFont="1" applyBorder="1" applyAlignment="1">
      <alignment horizontal="center"/>
    </xf>
    <xf numFmtId="0" fontId="1" fillId="2" borderId="0" xfId="0" applyFont="1" applyFill="1" applyBorder="1" applyAlignment="1">
      <alignment horizontal="left"/>
    </xf>
    <xf numFmtId="169" fontId="0" fillId="2" borderId="0" xfId="4" applyNumberFormat="1" applyFont="1" applyFill="1" applyBorder="1" applyAlignment="1">
      <alignment horizontal="center"/>
    </xf>
    <xf numFmtId="9" fontId="0" fillId="0" borderId="0" xfId="4" applyFont="1" applyBorder="1" applyAlignment="1">
      <alignment horizontal="center"/>
    </xf>
    <xf numFmtId="169" fontId="0" fillId="2" borderId="0" xfId="0" applyNumberFormat="1" applyFill="1" applyBorder="1" applyAlignment="1">
      <alignment horizontal="center"/>
    </xf>
    <xf numFmtId="164" fontId="0" fillId="2" borderId="7" xfId="4" applyNumberFormat="1" applyFont="1" applyFill="1" applyBorder="1" applyAlignment="1">
      <alignment horizontal="center"/>
    </xf>
    <xf numFmtId="166" fontId="1" fillId="3" borderId="0" xfId="0" applyNumberFormat="1" applyFont="1" applyFill="1" applyBorder="1" applyAlignment="1">
      <alignment horizontal="center"/>
    </xf>
    <xf numFmtId="0" fontId="1" fillId="0" borderId="0" xfId="0" applyFont="1" applyAlignment="1">
      <alignment wrapText="1"/>
    </xf>
    <xf numFmtId="0" fontId="0" fillId="0" borderId="0" xfId="0" applyAlignment="1">
      <alignment horizontal="left" wrapText="1"/>
    </xf>
    <xf numFmtId="0" fontId="1" fillId="0" borderId="0" xfId="0" applyFont="1" applyAlignment="1">
      <alignment wrapText="1"/>
    </xf>
    <xf numFmtId="0" fontId="29" fillId="3" borderId="0" xfId="0" applyFont="1" applyFill="1" applyBorder="1"/>
    <xf numFmtId="166" fontId="1" fillId="3" borderId="0" xfId="5" applyNumberFormat="1" applyFont="1" applyFill="1" applyBorder="1" applyAlignment="1">
      <alignment horizontal="center"/>
    </xf>
    <xf numFmtId="0" fontId="0" fillId="0" borderId="0" xfId="0" applyAlignment="1">
      <alignment horizontal="left" wrapText="1"/>
    </xf>
    <xf numFmtId="0" fontId="1" fillId="0" borderId="0" xfId="0" applyFont="1" applyAlignment="1">
      <alignment wrapText="1"/>
    </xf>
    <xf numFmtId="0" fontId="1" fillId="4" borderId="21" xfId="0" applyFont="1" applyFill="1" applyBorder="1" applyAlignment="1">
      <alignment horizontal="center" vertical="center"/>
    </xf>
    <xf numFmtId="0" fontId="1" fillId="4" borderId="22" xfId="0" applyFont="1" applyFill="1" applyBorder="1" applyAlignment="1">
      <alignment horizontal="center" wrapText="1"/>
    </xf>
    <xf numFmtId="0" fontId="1" fillId="4" borderId="23" xfId="0" applyFont="1" applyFill="1" applyBorder="1" applyAlignment="1">
      <alignment horizontal="center" wrapText="1"/>
    </xf>
    <xf numFmtId="0" fontId="29" fillId="3" borderId="24" xfId="0" applyFont="1" applyFill="1" applyBorder="1"/>
    <xf numFmtId="164" fontId="1" fillId="3" borderId="25" xfId="4" applyNumberFormat="1" applyFont="1" applyFill="1" applyBorder="1" applyAlignment="1">
      <alignment horizontal="center"/>
    </xf>
    <xf numFmtId="169" fontId="0" fillId="0" borderId="0" xfId="0" applyNumberFormat="1" applyFont="1" applyBorder="1"/>
    <xf numFmtId="0" fontId="1" fillId="4" borderId="21" xfId="0" applyFont="1" applyFill="1" applyBorder="1" applyAlignment="1">
      <alignment vertical="center"/>
    </xf>
    <xf numFmtId="169" fontId="1" fillId="4" borderId="22" xfId="0" applyNumberFormat="1" applyFont="1" applyFill="1" applyBorder="1" applyAlignment="1">
      <alignment horizontal="center" vertical="center"/>
    </xf>
    <xf numFmtId="0" fontId="29" fillId="0" borderId="16" xfId="0" applyFont="1" applyFill="1" applyBorder="1"/>
    <xf numFmtId="169" fontId="0" fillId="0" borderId="17" xfId="5" applyNumberFormat="1" applyFont="1" applyBorder="1" applyAlignment="1">
      <alignment horizontal="center"/>
    </xf>
    <xf numFmtId="166" fontId="1" fillId="3" borderId="27" xfId="0" applyNumberFormat="1" applyFont="1" applyFill="1" applyBorder="1" applyAlignment="1">
      <alignment horizontal="center"/>
    </xf>
    <xf numFmtId="166" fontId="1" fillId="3" borderId="28" xfId="0" applyNumberFormat="1" applyFont="1" applyFill="1" applyBorder="1" applyAlignment="1">
      <alignment horizontal="center"/>
    </xf>
    <xf numFmtId="0" fontId="32" fillId="0" borderId="0" xfId="0" applyFont="1" applyAlignment="1">
      <alignment horizontal="left" wrapText="1"/>
    </xf>
    <xf numFmtId="169" fontId="0" fillId="0" borderId="0" xfId="0" applyNumberFormat="1" applyAlignment="1">
      <alignment horizontal="left" wrapText="1"/>
    </xf>
    <xf numFmtId="169" fontId="0" fillId="3" borderId="25" xfId="0" applyNumberFormat="1" applyFill="1" applyBorder="1"/>
    <xf numFmtId="169" fontId="0" fillId="0" borderId="17" xfId="0" applyNumberFormat="1" applyFont="1" applyBorder="1"/>
    <xf numFmtId="169" fontId="1" fillId="0" borderId="0" xfId="0" applyNumberFormat="1" applyFont="1" applyBorder="1"/>
    <xf numFmtId="164" fontId="1" fillId="0" borderId="17" xfId="4" applyNumberFormat="1" applyFont="1" applyBorder="1" applyAlignment="1">
      <alignment horizontal="center"/>
    </xf>
    <xf numFmtId="169" fontId="0" fillId="0" borderId="0" xfId="0" applyNumberFormat="1"/>
    <xf numFmtId="0" fontId="34" fillId="0" borderId="0" xfId="0" applyFont="1"/>
    <xf numFmtId="0" fontId="9" fillId="0" borderId="19" xfId="0" applyFont="1" applyBorder="1"/>
    <xf numFmtId="0" fontId="9" fillId="0" borderId="2" xfId="0" applyFont="1" applyBorder="1"/>
    <xf numFmtId="0" fontId="14" fillId="0" borderId="0" xfId="0" applyFont="1"/>
    <xf numFmtId="0" fontId="14" fillId="0" borderId="0" xfId="0" applyFont="1" applyAlignment="1">
      <alignment horizontal="left"/>
    </xf>
    <xf numFmtId="0" fontId="9" fillId="0" borderId="0" xfId="0" applyFont="1" applyAlignment="1">
      <alignment horizontal="right"/>
    </xf>
    <xf numFmtId="41" fontId="9" fillId="0" borderId="0" xfId="9" applyFont="1" applyAlignment="1">
      <alignment horizontal="right"/>
    </xf>
    <xf numFmtId="41" fontId="0" fillId="0" borderId="0" xfId="0" applyNumberFormat="1"/>
    <xf numFmtId="0" fontId="9" fillId="0" borderId="0" xfId="0" applyFont="1" applyAlignment="1">
      <alignment horizontal="left"/>
    </xf>
    <xf numFmtId="41" fontId="2" fillId="0" borderId="0" xfId="9" applyFont="1" applyFill="1" applyAlignment="1">
      <alignment horizontal="right"/>
    </xf>
    <xf numFmtId="173" fontId="9" fillId="0" borderId="0" xfId="0" applyNumberFormat="1" applyFont="1"/>
    <xf numFmtId="0" fontId="14" fillId="0" borderId="19" xfId="0" applyFont="1" applyBorder="1"/>
    <xf numFmtId="173" fontId="2" fillId="0" borderId="19" xfId="8" applyNumberFormat="1" applyFont="1" applyFill="1" applyBorder="1"/>
    <xf numFmtId="0" fontId="9" fillId="0" borderId="0" xfId="0" applyFont="1" applyAlignment="1">
      <alignment horizontal="center"/>
    </xf>
    <xf numFmtId="173" fontId="9" fillId="0" borderId="0" xfId="0" applyNumberFormat="1" applyFont="1" applyAlignment="1">
      <alignment horizontal="right"/>
    </xf>
    <xf numFmtId="173" fontId="2" fillId="0" borderId="19" xfId="8" applyNumberFormat="1" applyFont="1" applyFill="1" applyBorder="1" applyAlignment="1">
      <alignment horizontal="right"/>
    </xf>
    <xf numFmtId="0" fontId="25" fillId="5" borderId="18" xfId="0" applyFont="1" applyFill="1" applyBorder="1"/>
    <xf numFmtId="169" fontId="0" fillId="0" borderId="9" xfId="0" applyNumberFormat="1" applyBorder="1" applyAlignment="1">
      <alignment horizontal="center"/>
    </xf>
    <xf numFmtId="169" fontId="6" fillId="4" borderId="8" xfId="0" applyNumberFormat="1" applyFont="1" applyFill="1" applyBorder="1" applyAlignment="1">
      <alignment horizontal="center"/>
    </xf>
    <xf numFmtId="169" fontId="6" fillId="0" borderId="0" xfId="0" applyNumberFormat="1" applyFont="1" applyAlignment="1">
      <alignment horizontal="center"/>
    </xf>
    <xf numFmtId="169" fontId="0" fillId="0" borderId="0" xfId="0" applyNumberFormat="1" applyAlignment="1">
      <alignment horizontal="center"/>
    </xf>
    <xf numFmtId="169" fontId="0" fillId="0" borderId="9" xfId="0" applyNumberFormat="1" applyFont="1" applyBorder="1" applyAlignment="1">
      <alignment horizontal="center"/>
    </xf>
    <xf numFmtId="169" fontId="1" fillId="3" borderId="8" xfId="0" applyNumberFormat="1" applyFont="1" applyFill="1" applyBorder="1" applyAlignment="1">
      <alignment horizontal="center"/>
    </xf>
    <xf numFmtId="0" fontId="25" fillId="0" borderId="6" xfId="0" applyFont="1" applyBorder="1"/>
    <xf numFmtId="169" fontId="25" fillId="0" borderId="8" xfId="0" applyNumberFormat="1" applyFont="1" applyBorder="1"/>
    <xf numFmtId="0" fontId="1" fillId="4" borderId="21" xfId="0" applyFont="1" applyFill="1" applyBorder="1"/>
    <xf numFmtId="0" fontId="1" fillId="4" borderId="22" xfId="0" applyFont="1" applyFill="1" applyBorder="1" applyAlignment="1">
      <alignment horizontal="center"/>
    </xf>
    <xf numFmtId="0" fontId="1" fillId="4" borderId="23" xfId="0" applyFont="1" applyFill="1" applyBorder="1" applyAlignment="1">
      <alignment horizontal="center"/>
    </xf>
    <xf numFmtId="0" fontId="0" fillId="0" borderId="29" xfId="0" applyBorder="1"/>
    <xf numFmtId="169" fontId="1" fillId="0" borderId="30" xfId="0" applyNumberFormat="1" applyFont="1" applyBorder="1"/>
    <xf numFmtId="0" fontId="0" fillId="0" borderId="18" xfId="0" applyBorder="1"/>
    <xf numFmtId="169" fontId="1" fillId="0" borderId="19" xfId="0" applyNumberFormat="1" applyFont="1" applyBorder="1" applyAlignment="1">
      <alignment wrapText="1"/>
    </xf>
    <xf numFmtId="169" fontId="1" fillId="0" borderId="20" xfId="0" applyNumberFormat="1" applyFont="1" applyBorder="1" applyAlignment="1">
      <alignment wrapText="1"/>
    </xf>
    <xf numFmtId="169" fontId="1" fillId="0" borderId="0" xfId="0" applyNumberFormat="1" applyFont="1" applyBorder="1" applyAlignment="1">
      <alignment wrapText="1"/>
    </xf>
    <xf numFmtId="0" fontId="0" fillId="0" borderId="16" xfId="0" applyBorder="1"/>
    <xf numFmtId="169" fontId="1" fillId="0" borderId="17" xfId="0" applyNumberFormat="1" applyFont="1" applyBorder="1"/>
    <xf numFmtId="0" fontId="1" fillId="2" borderId="7" xfId="0" applyFont="1" applyFill="1" applyBorder="1"/>
    <xf numFmtId="169" fontId="0" fillId="2" borderId="7" xfId="0" applyNumberFormat="1" applyFill="1" applyBorder="1"/>
    <xf numFmtId="0" fontId="1" fillId="5" borderId="6" xfId="0" applyFont="1" applyFill="1" applyBorder="1"/>
    <xf numFmtId="0" fontId="1" fillId="5" borderId="7" xfId="0" applyFont="1" applyFill="1" applyBorder="1" applyAlignment="1">
      <alignment horizontal="center" wrapText="1"/>
    </xf>
    <xf numFmtId="0" fontId="0" fillId="0" borderId="0" xfId="0" applyAlignment="1">
      <alignment horizontal="right"/>
    </xf>
    <xf numFmtId="164" fontId="1" fillId="2" borderId="0" xfId="4" applyNumberFormat="1" applyFont="1" applyFill="1" applyBorder="1" applyAlignment="1">
      <alignment horizontal="center" vertical="center"/>
    </xf>
    <xf numFmtId="0" fontId="1" fillId="6" borderId="5" xfId="0" applyFont="1" applyFill="1" applyBorder="1"/>
    <xf numFmtId="169" fontId="1" fillId="4" borderId="7" xfId="0" applyNumberFormat="1" applyFont="1" applyFill="1" applyBorder="1" applyAlignment="1">
      <alignment horizontal="center" vertical="center"/>
    </xf>
    <xf numFmtId="169" fontId="0" fillId="0" borderId="7" xfId="0" applyNumberFormat="1" applyBorder="1" applyAlignment="1">
      <alignment horizontal="center"/>
    </xf>
    <xf numFmtId="166" fontId="0" fillId="0" borderId="7" xfId="0" applyNumberFormat="1" applyBorder="1"/>
    <xf numFmtId="166" fontId="0" fillId="0" borderId="7" xfId="5" applyNumberFormat="1" applyFont="1" applyBorder="1" applyAlignment="1">
      <alignment horizontal="center"/>
    </xf>
    <xf numFmtId="169" fontId="1" fillId="3" borderId="7" xfId="0" applyNumberFormat="1" applyFont="1" applyFill="1" applyBorder="1"/>
    <xf numFmtId="169" fontId="0" fillId="0" borderId="9" xfId="4" applyNumberFormat="1" applyFont="1" applyBorder="1" applyAlignment="1">
      <alignment horizontal="center"/>
    </xf>
    <xf numFmtId="0" fontId="35" fillId="0" borderId="4" xfId="0" applyFont="1" applyFill="1" applyBorder="1" applyAlignment="1">
      <alignment wrapText="1"/>
    </xf>
    <xf numFmtId="166" fontId="0" fillId="0" borderId="0" xfId="0" applyNumberFormat="1" applyFont="1" applyBorder="1" applyAlignment="1">
      <alignment horizontal="center"/>
    </xf>
    <xf numFmtId="166" fontId="0" fillId="0" borderId="0" xfId="0" applyNumberFormat="1" applyBorder="1" applyAlignment="1">
      <alignment horizontal="center"/>
    </xf>
    <xf numFmtId="0" fontId="29" fillId="7" borderId="4" xfId="0" applyFont="1" applyFill="1" applyBorder="1"/>
    <xf numFmtId="169" fontId="0" fillId="7" borderId="9" xfId="4" applyNumberFormat="1" applyFont="1" applyFill="1" applyBorder="1" applyAlignment="1">
      <alignment horizontal="center"/>
    </xf>
    <xf numFmtId="166" fontId="1" fillId="6" borderId="7" xfId="4" applyNumberFormat="1" applyFont="1" applyFill="1" applyBorder="1" applyAlignment="1">
      <alignment horizontal="center" vertical="center"/>
    </xf>
    <xf numFmtId="0" fontId="0" fillId="7" borderId="4" xfId="0" applyFont="1" applyFill="1" applyBorder="1" applyAlignment="1">
      <alignment vertical="center"/>
    </xf>
    <xf numFmtId="0" fontId="29" fillId="0" borderId="14" xfId="0" applyFont="1" applyFill="1" applyBorder="1"/>
    <xf numFmtId="169" fontId="0" fillId="0" borderId="12" xfId="4" applyNumberFormat="1" applyFont="1" applyBorder="1" applyAlignment="1">
      <alignment horizontal="center"/>
    </xf>
    <xf numFmtId="169" fontId="0" fillId="7" borderId="9" xfId="0" applyNumberFormat="1" applyFont="1" applyFill="1" applyBorder="1" applyAlignment="1">
      <alignment horizontal="center" wrapText="1"/>
    </xf>
    <xf numFmtId="169" fontId="0" fillId="0" borderId="17" xfId="0" applyNumberFormat="1" applyBorder="1"/>
    <xf numFmtId="0" fontId="1" fillId="4" borderId="26" xfId="0" applyFont="1" applyFill="1" applyBorder="1"/>
    <xf numFmtId="169" fontId="1" fillId="4" borderId="28" xfId="0" applyNumberFormat="1" applyFont="1" applyFill="1" applyBorder="1"/>
    <xf numFmtId="0" fontId="25" fillId="5" borderId="31" xfId="0" applyFont="1" applyFill="1" applyBorder="1"/>
    <xf numFmtId="172" fontId="2"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2" fontId="1" fillId="0" borderId="1" xfId="0" applyNumberFormat="1" applyFont="1" applyBorder="1" applyAlignment="1">
      <alignment horizontal="center"/>
    </xf>
    <xf numFmtId="0" fontId="38" fillId="0" borderId="0" xfId="0" applyFont="1"/>
    <xf numFmtId="0" fontId="7" fillId="0" borderId="0" xfId="3" applyFill="1" applyBorder="1"/>
    <xf numFmtId="2" fontId="0" fillId="0" borderId="14" xfId="0" applyNumberFormat="1" applyBorder="1" applyAlignment="1">
      <alignment horizontal="center"/>
    </xf>
    <xf numFmtId="2" fontId="1" fillId="0" borderId="3" xfId="0" applyNumberFormat="1" applyFont="1" applyBorder="1" applyAlignment="1">
      <alignment horizontal="center"/>
    </xf>
    <xf numFmtId="172" fontId="0" fillId="0" borderId="6" xfId="0" applyNumberFormat="1" applyBorder="1" applyAlignment="1">
      <alignment horizontal="center"/>
    </xf>
    <xf numFmtId="172" fontId="0" fillId="0" borderId="0" xfId="0" applyNumberFormat="1" applyFill="1" applyAlignment="1">
      <alignment horizontal="center"/>
    </xf>
    <xf numFmtId="2" fontId="0" fillId="0" borderId="3" xfId="0" applyNumberFormat="1" applyBorder="1" applyAlignment="1">
      <alignment horizontal="center"/>
    </xf>
    <xf numFmtId="2" fontId="0" fillId="0" borderId="0" xfId="0" applyNumberFormat="1" applyFill="1" applyAlignment="1">
      <alignment horizontal="center"/>
    </xf>
    <xf numFmtId="2" fontId="0" fillId="0" borderId="12" xfId="0" applyNumberFormat="1" applyBorder="1" applyAlignment="1">
      <alignment horizontal="center"/>
    </xf>
    <xf numFmtId="2" fontId="0" fillId="0" borderId="6" xfId="0" applyNumberFormat="1" applyBorder="1" applyAlignment="1">
      <alignment horizontal="center"/>
    </xf>
    <xf numFmtId="2" fontId="0" fillId="0" borderId="1" xfId="0" applyNumberFormat="1" applyBorder="1" applyAlignment="1">
      <alignment horizontal="center"/>
    </xf>
    <xf numFmtId="2" fontId="0" fillId="0" borderId="8" xfId="0" applyNumberFormat="1" applyBorder="1" applyAlignment="1">
      <alignment horizontal="center"/>
    </xf>
    <xf numFmtId="0" fontId="0" fillId="0" borderId="0" xfId="0" applyAlignment="1">
      <alignment horizontal="left" wrapText="1"/>
    </xf>
    <xf numFmtId="0" fontId="25" fillId="3" borderId="26" xfId="0" applyFont="1" applyFill="1" applyBorder="1"/>
    <xf numFmtId="0" fontId="29" fillId="8" borderId="4" xfId="0" applyFont="1" applyFill="1" applyBorder="1"/>
    <xf numFmtId="170" fontId="0" fillId="8" borderId="0" xfId="0" applyNumberFormat="1" applyFill="1" applyBorder="1" applyAlignment="1">
      <alignment horizontal="center"/>
    </xf>
    <xf numFmtId="0" fontId="29" fillId="9" borderId="4" xfId="0" applyFont="1" applyFill="1" applyBorder="1"/>
    <xf numFmtId="170" fontId="0" fillId="9" borderId="0" xfId="0" applyNumberFormat="1" applyFill="1" applyBorder="1" applyAlignment="1">
      <alignment horizontal="center"/>
    </xf>
    <xf numFmtId="0" fontId="39" fillId="0" borderId="0" xfId="0" applyFont="1"/>
    <xf numFmtId="170" fontId="0" fillId="0" borderId="0" xfId="0" applyNumberFormat="1"/>
    <xf numFmtId="169" fontId="1" fillId="0" borderId="10" xfId="0" applyNumberFormat="1" applyFont="1" applyBorder="1" applyAlignment="1">
      <alignment horizontal="center"/>
    </xf>
    <xf numFmtId="0" fontId="1" fillId="4" borderId="33" xfId="0" applyFont="1" applyFill="1" applyBorder="1" applyAlignment="1">
      <alignment horizontal="center"/>
    </xf>
    <xf numFmtId="169" fontId="0" fillId="0" borderId="11" xfId="0" applyNumberFormat="1" applyBorder="1" applyAlignment="1">
      <alignment horizontal="center"/>
    </xf>
    <xf numFmtId="169" fontId="1" fillId="4" borderId="34" xfId="0" applyNumberFormat="1" applyFont="1" applyFill="1" applyBorder="1"/>
    <xf numFmtId="169" fontId="1" fillId="4" borderId="34" xfId="0" applyNumberFormat="1" applyFont="1" applyFill="1" applyBorder="1" applyAlignment="1">
      <alignment horizontal="center"/>
    </xf>
    <xf numFmtId="0" fontId="0" fillId="0" borderId="17" xfId="0" applyBorder="1"/>
    <xf numFmtId="0" fontId="0" fillId="0" borderId="20" xfId="0" applyBorder="1"/>
    <xf numFmtId="0" fontId="0" fillId="0" borderId="16" xfId="0" applyFill="1" applyBorder="1"/>
    <xf numFmtId="0" fontId="20" fillId="5" borderId="21" xfId="0" applyFont="1" applyFill="1" applyBorder="1" applyAlignment="1">
      <alignment horizontal="center"/>
    </xf>
    <xf numFmtId="0" fontId="0" fillId="0" borderId="0" xfId="0" applyAlignment="1">
      <alignment horizontal="left"/>
    </xf>
    <xf numFmtId="170" fontId="0" fillId="0" borderId="7" xfId="0" applyNumberFormat="1" applyBorder="1"/>
    <xf numFmtId="0" fontId="20" fillId="5" borderId="31" xfId="0" applyFont="1" applyFill="1" applyBorder="1" applyAlignment="1">
      <alignment horizontal="center"/>
    </xf>
    <xf numFmtId="0" fontId="20" fillId="5" borderId="32" xfId="0" applyFont="1" applyFill="1" applyBorder="1" applyAlignment="1">
      <alignment horizontal="center"/>
    </xf>
    <xf numFmtId="0" fontId="6" fillId="5" borderId="22" xfId="0" applyFont="1" applyFill="1" applyBorder="1" applyAlignment="1">
      <alignment horizontal="center"/>
    </xf>
    <xf numFmtId="0" fontId="1" fillId="5" borderId="22" xfId="0" applyFont="1" applyFill="1" applyBorder="1" applyAlignment="1">
      <alignment horizontal="center"/>
    </xf>
    <xf numFmtId="0" fontId="1" fillId="5" borderId="26" xfId="0" applyFont="1" applyFill="1" applyBorder="1"/>
    <xf numFmtId="0" fontId="1" fillId="5" borderId="27" xfId="0" applyFont="1" applyFill="1" applyBorder="1"/>
    <xf numFmtId="0" fontId="20" fillId="5" borderId="37" xfId="0" applyFont="1" applyFill="1" applyBorder="1" applyAlignment="1">
      <alignment horizontal="center"/>
    </xf>
    <xf numFmtId="0" fontId="20" fillId="5" borderId="38" xfId="0" applyFont="1" applyFill="1" applyBorder="1" applyAlignment="1">
      <alignment horizontal="center"/>
    </xf>
    <xf numFmtId="0" fontId="0" fillId="0" borderId="39" xfId="0" applyFill="1" applyBorder="1"/>
    <xf numFmtId="0" fontId="0" fillId="0" borderId="40" xfId="0" applyBorder="1"/>
    <xf numFmtId="0" fontId="0" fillId="0" borderId="41" xfId="0" applyFont="1" applyFill="1" applyBorder="1"/>
    <xf numFmtId="0" fontId="0" fillId="0" borderId="42" xfId="0" applyBorder="1"/>
    <xf numFmtId="0" fontId="20" fillId="5" borderId="33" xfId="0" applyFont="1" applyFill="1" applyBorder="1" applyAlignment="1">
      <alignment horizontal="center"/>
    </xf>
    <xf numFmtId="0" fontId="0" fillId="0" borderId="34" xfId="0" applyBorder="1"/>
    <xf numFmtId="164" fontId="1" fillId="5" borderId="8" xfId="4" applyNumberFormat="1" applyFont="1" applyFill="1" applyBorder="1" applyAlignment="1">
      <alignment horizontal="center"/>
    </xf>
    <xf numFmtId="164" fontId="25" fillId="5" borderId="36" xfId="4" applyNumberFormat="1" applyFont="1" applyFill="1" applyBorder="1" applyAlignment="1">
      <alignment horizontal="center"/>
    </xf>
    <xf numFmtId="164" fontId="25" fillId="5" borderId="35" xfId="4" applyNumberFormat="1" applyFont="1" applyFill="1" applyBorder="1" applyAlignment="1">
      <alignment horizontal="center"/>
    </xf>
    <xf numFmtId="0" fontId="7" fillId="0" borderId="3" xfId="3" applyBorder="1"/>
    <xf numFmtId="3" fontId="3" fillId="0" borderId="1" xfId="0" applyNumberFormat="1" applyFont="1" applyFill="1" applyBorder="1"/>
    <xf numFmtId="174" fontId="0" fillId="0" borderId="7" xfId="0" applyNumberFormat="1" applyBorder="1"/>
    <xf numFmtId="174" fontId="0" fillId="0" borderId="34" xfId="0" applyNumberFormat="1" applyBorder="1"/>
    <xf numFmtId="16" fontId="0" fillId="0" borderId="0" xfId="0" applyNumberFormat="1"/>
    <xf numFmtId="15" fontId="0" fillId="0" borderId="0" xfId="0" applyNumberFormat="1"/>
    <xf numFmtId="0" fontId="3" fillId="4" borderId="21" xfId="0" applyFont="1" applyFill="1" applyBorder="1" applyAlignment="1">
      <alignment horizontal="left"/>
    </xf>
    <xf numFmtId="0" fontId="3" fillId="4" borderId="22" xfId="0" applyFont="1" applyFill="1" applyBorder="1" applyAlignment="1">
      <alignment horizontal="center"/>
    </xf>
    <xf numFmtId="0" fontId="3" fillId="0" borderId="16" xfId="0" applyFont="1" applyFill="1" applyBorder="1" applyAlignment="1">
      <alignment horizontal="left"/>
    </xf>
    <xf numFmtId="0" fontId="0" fillId="0" borderId="19" xfId="0" applyBorder="1"/>
    <xf numFmtId="0" fontId="3" fillId="4" borderId="43" xfId="0" applyFont="1" applyFill="1" applyBorder="1" applyAlignment="1">
      <alignment horizontal="center"/>
    </xf>
    <xf numFmtId="2" fontId="2" fillId="0" borderId="4" xfId="0" applyNumberFormat="1" applyFont="1" applyFill="1" applyBorder="1" applyAlignment="1">
      <alignment horizontal="center"/>
    </xf>
    <xf numFmtId="0" fontId="1" fillId="0" borderId="4" xfId="0" applyFont="1" applyBorder="1" applyAlignment="1">
      <alignment horizontal="center"/>
    </xf>
    <xf numFmtId="172" fontId="2" fillId="0" borderId="4" xfId="0" applyNumberFormat="1" applyFont="1" applyFill="1" applyBorder="1" applyAlignment="1">
      <alignment horizontal="center"/>
    </xf>
    <xf numFmtId="2" fontId="1" fillId="4" borderId="6" xfId="0" applyNumberFormat="1" applyFont="1" applyFill="1" applyBorder="1" applyAlignment="1">
      <alignment horizontal="center"/>
    </xf>
    <xf numFmtId="2" fontId="1" fillId="4" borderId="1" xfId="0" applyNumberFormat="1" applyFont="1" applyFill="1" applyBorder="1" applyAlignment="1">
      <alignment horizontal="center"/>
    </xf>
    <xf numFmtId="2" fontId="3" fillId="4" borderId="1" xfId="0" applyNumberFormat="1" applyFont="1" applyFill="1" applyBorder="1"/>
    <xf numFmtId="2" fontId="2" fillId="0" borderId="9" xfId="0" applyNumberFormat="1" applyFont="1" applyFill="1" applyBorder="1" applyAlignment="1">
      <alignment horizontal="center"/>
    </xf>
    <xf numFmtId="166" fontId="3" fillId="4" borderId="8" xfId="0" applyNumberFormat="1" applyFont="1" applyFill="1" applyBorder="1"/>
    <xf numFmtId="172" fontId="2" fillId="0" borderId="9" xfId="0" applyNumberFormat="1" applyFont="1" applyFill="1" applyBorder="1" applyAlignment="1">
      <alignment horizontal="center"/>
    </xf>
    <xf numFmtId="0" fontId="0" fillId="2" borderId="0" xfId="0" applyFill="1" applyBorder="1"/>
    <xf numFmtId="166" fontId="3" fillId="2" borderId="0" xfId="0" applyNumberFormat="1" applyFont="1" applyFill="1" applyBorder="1"/>
    <xf numFmtId="0" fontId="3" fillId="2" borderId="0" xfId="0" applyFont="1" applyFill="1" applyBorder="1"/>
    <xf numFmtId="164" fontId="3" fillId="0" borderId="0" xfId="4" applyNumberFormat="1" applyFont="1" applyFill="1" applyBorder="1"/>
    <xf numFmtId="164" fontId="43" fillId="0" borderId="0" xfId="4" applyNumberFormat="1" applyFont="1" applyFill="1" applyBorder="1"/>
    <xf numFmtId="0" fontId="43" fillId="0" borderId="3" xfId="0" applyFont="1" applyFill="1" applyBorder="1"/>
    <xf numFmtId="0" fontId="18" fillId="0" borderId="3" xfId="0" applyFont="1" applyFill="1" applyBorder="1"/>
    <xf numFmtId="0" fontId="3" fillId="0" borderId="16" xfId="0" applyFont="1" applyFill="1" applyBorder="1"/>
    <xf numFmtId="0" fontId="3" fillId="0" borderId="17" xfId="0" applyFont="1" applyFill="1" applyBorder="1"/>
    <xf numFmtId="0" fontId="18" fillId="0" borderId="16" xfId="0" applyFont="1" applyFill="1" applyBorder="1"/>
    <xf numFmtId="0" fontId="18" fillId="0" borderId="17" xfId="0" applyFont="1" applyFill="1" applyBorder="1"/>
    <xf numFmtId="0" fontId="3" fillId="5" borderId="45" xfId="0" applyFont="1" applyFill="1" applyBorder="1"/>
    <xf numFmtId="0" fontId="3" fillId="5" borderId="46" xfId="0" applyFont="1" applyFill="1" applyBorder="1"/>
    <xf numFmtId="0" fontId="3" fillId="4" borderId="6" xfId="0" applyFont="1" applyFill="1" applyBorder="1"/>
    <xf numFmtId="164" fontId="18" fillId="4" borderId="39" xfId="4" applyNumberFormat="1" applyFont="1" applyFill="1" applyBorder="1"/>
    <xf numFmtId="10" fontId="18" fillId="4" borderId="24" xfId="4" applyNumberFormat="1" applyFont="1" applyFill="1" applyBorder="1"/>
    <xf numFmtId="0" fontId="44" fillId="0" borderId="0" xfId="0" applyFont="1" applyFill="1" applyBorder="1"/>
    <xf numFmtId="0" fontId="44" fillId="0" borderId="3" xfId="0" applyFont="1" applyFill="1" applyBorder="1"/>
    <xf numFmtId="10" fontId="18" fillId="4" borderId="39" xfId="4" applyNumberFormat="1" applyFont="1" applyFill="1" applyBorder="1"/>
    <xf numFmtId="164" fontId="18" fillId="0" borderId="18" xfId="4" applyNumberFormat="1" applyFont="1" applyFill="1" applyBorder="1"/>
    <xf numFmtId="164" fontId="18" fillId="0" borderId="19" xfId="4" applyNumberFormat="1" applyFont="1" applyFill="1" applyBorder="1"/>
    <xf numFmtId="0" fontId="18" fillId="0" borderId="19" xfId="0" applyFont="1" applyFill="1" applyBorder="1"/>
    <xf numFmtId="164" fontId="18" fillId="0" borderId="45" xfId="4" applyNumberFormat="1" applyFont="1" applyFill="1" applyBorder="1"/>
    <xf numFmtId="164" fontId="18" fillId="0" borderId="46" xfId="4" applyNumberFormat="1" applyFont="1" applyFill="1" applyBorder="1"/>
    <xf numFmtId="0" fontId="18" fillId="0" borderId="46" xfId="0" applyFont="1" applyFill="1" applyBorder="1"/>
    <xf numFmtId="164" fontId="18" fillId="10" borderId="48" xfId="0" applyNumberFormat="1" applyFont="1" applyFill="1" applyBorder="1"/>
    <xf numFmtId="0" fontId="45" fillId="10" borderId="31" xfId="0" applyFont="1" applyFill="1" applyBorder="1" applyAlignment="1">
      <alignment horizontal="center"/>
    </xf>
    <xf numFmtId="0" fontId="45" fillId="10" borderId="50" xfId="0" applyFont="1" applyFill="1" applyBorder="1" applyAlignment="1">
      <alignment horizontal="center"/>
    </xf>
    <xf numFmtId="0" fontId="45" fillId="10" borderId="32" xfId="0" applyFont="1" applyFill="1" applyBorder="1" applyAlignment="1">
      <alignment horizontal="center"/>
    </xf>
    <xf numFmtId="0" fontId="3" fillId="5" borderId="49" xfId="0" applyFont="1" applyFill="1" applyBorder="1"/>
    <xf numFmtId="0" fontId="3" fillId="0" borderId="14" xfId="0" applyFont="1" applyFill="1" applyBorder="1"/>
    <xf numFmtId="0" fontId="3" fillId="0" borderId="29" xfId="0" applyFont="1" applyFill="1" applyBorder="1"/>
    <xf numFmtId="0" fontId="3" fillId="0" borderId="51" xfId="0" applyFont="1" applyFill="1" applyBorder="1"/>
    <xf numFmtId="0" fontId="18" fillId="0" borderId="4" xfId="0" applyFont="1" applyFill="1" applyBorder="1"/>
    <xf numFmtId="0" fontId="18" fillId="0" borderId="52" xfId="0" applyFont="1" applyFill="1" applyBorder="1"/>
    <xf numFmtId="0" fontId="18" fillId="0" borderId="14" xfId="0" applyFont="1" applyFill="1" applyBorder="1"/>
    <xf numFmtId="0" fontId="18" fillId="0" borderId="5" xfId="0" applyFont="1" applyFill="1" applyBorder="1"/>
    <xf numFmtId="0" fontId="18" fillId="0" borderId="2" xfId="0" applyFont="1" applyFill="1" applyBorder="1"/>
    <xf numFmtId="0" fontId="43" fillId="0" borderId="12" xfId="0" applyFont="1" applyFill="1" applyBorder="1"/>
    <xf numFmtId="0" fontId="3" fillId="0" borderId="5" xfId="0" applyFont="1" applyFill="1" applyBorder="1"/>
    <xf numFmtId="0" fontId="43" fillId="0" borderId="2" xfId="0" applyFont="1" applyFill="1" applyBorder="1"/>
    <xf numFmtId="0" fontId="43" fillId="0" borderId="10" xfId="0" applyFont="1" applyFill="1" applyBorder="1"/>
    <xf numFmtId="164" fontId="18" fillId="10" borderId="44" xfId="4" applyNumberFormat="1" applyFont="1" applyFill="1" applyBorder="1"/>
    <xf numFmtId="0" fontId="18" fillId="10" borderId="0" xfId="0" applyFont="1" applyFill="1" applyBorder="1"/>
    <xf numFmtId="0" fontId="18" fillId="10" borderId="4" xfId="0" applyFont="1" applyFill="1" applyBorder="1"/>
    <xf numFmtId="0" fontId="18" fillId="10" borderId="5" xfId="0" applyFont="1" applyFill="1" applyBorder="1"/>
    <xf numFmtId="0" fontId="18" fillId="10" borderId="2" xfId="0" applyFont="1" applyFill="1" applyBorder="1"/>
    <xf numFmtId="2" fontId="18" fillId="10" borderId="2" xfId="0" applyNumberFormat="1" applyFont="1" applyFill="1" applyBorder="1"/>
    <xf numFmtId="0" fontId="18" fillId="10" borderId="17" xfId="0" applyFont="1" applyFill="1" applyBorder="1"/>
    <xf numFmtId="0" fontId="18" fillId="10" borderId="18" xfId="0" applyFont="1" applyFill="1" applyBorder="1"/>
    <xf numFmtId="0" fontId="18" fillId="10" borderId="19" xfId="0" applyFont="1" applyFill="1" applyBorder="1"/>
    <xf numFmtId="0" fontId="18" fillId="10" borderId="20" xfId="0" applyFont="1" applyFill="1" applyBorder="1"/>
    <xf numFmtId="0" fontId="18" fillId="0" borderId="31" xfId="0" applyFont="1" applyFill="1" applyBorder="1"/>
    <xf numFmtId="0" fontId="18" fillId="0" borderId="50" xfId="0" applyFont="1" applyFill="1" applyBorder="1"/>
    <xf numFmtId="0" fontId="18" fillId="0" borderId="32" xfId="0" applyFont="1" applyFill="1" applyBorder="1"/>
    <xf numFmtId="170" fontId="18" fillId="10" borderId="16" xfId="0" applyNumberFormat="1" applyFont="1" applyFill="1" applyBorder="1"/>
    <xf numFmtId="170" fontId="18" fillId="10" borderId="0" xfId="0" applyNumberFormat="1" applyFont="1" applyFill="1" applyBorder="1"/>
    <xf numFmtId="0" fontId="18" fillId="10" borderId="45" xfId="0" applyFont="1" applyFill="1" applyBorder="1"/>
    <xf numFmtId="0" fontId="18" fillId="10" borderId="46" xfId="0" applyFont="1" applyFill="1" applyBorder="1"/>
    <xf numFmtId="0" fontId="18" fillId="10" borderId="47" xfId="0" applyFont="1" applyFill="1" applyBorder="1"/>
    <xf numFmtId="0" fontId="1" fillId="0" borderId="29" xfId="0" applyFont="1" applyBorder="1"/>
    <xf numFmtId="0" fontId="1" fillId="0" borderId="30" xfId="0" applyFont="1" applyBorder="1"/>
    <xf numFmtId="0" fontId="1" fillId="0" borderId="16" xfId="0" applyFont="1" applyBorder="1"/>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10" borderId="45" xfId="0" applyFont="1" applyFill="1" applyBorder="1"/>
    <xf numFmtId="0" fontId="1" fillId="10" borderId="46" xfId="0" applyFont="1" applyFill="1" applyBorder="1"/>
    <xf numFmtId="0" fontId="1" fillId="10" borderId="47" xfId="0" applyFont="1" applyFill="1" applyBorder="1"/>
    <xf numFmtId="0" fontId="1" fillId="11" borderId="0" xfId="0" applyFont="1" applyFill="1" applyAlignment="1">
      <alignment horizontal="center"/>
    </xf>
    <xf numFmtId="0" fontId="1" fillId="11" borderId="0" xfId="0" applyFont="1" applyFill="1" applyAlignment="1">
      <alignment horizontal="left"/>
    </xf>
    <xf numFmtId="171" fontId="0" fillId="0" borderId="0" xfId="0" applyNumberFormat="1" applyBorder="1" applyAlignment="1">
      <alignment horizontal="center"/>
    </xf>
    <xf numFmtId="0" fontId="0" fillId="0" borderId="0" xfId="0"/>
    <xf numFmtId="164" fontId="0" fillId="0" borderId="7" xfId="0" applyNumberFormat="1" applyBorder="1" applyAlignment="1">
      <alignment horizontal="center"/>
    </xf>
    <xf numFmtId="164" fontId="0" fillId="0" borderId="7" xfId="4" applyNumberFormat="1" applyFont="1" applyBorder="1" applyAlignment="1">
      <alignment horizontal="center"/>
    </xf>
    <xf numFmtId="164" fontId="0" fillId="0" borderId="0" xfId="0" applyNumberFormat="1" applyFont="1" applyBorder="1" applyAlignment="1">
      <alignment wrapText="1"/>
    </xf>
    <xf numFmtId="170" fontId="0" fillId="0" borderId="0" xfId="0" applyNumberFormat="1"/>
    <xf numFmtId="0" fontId="1" fillId="4" borderId="33" xfId="0" applyFont="1" applyFill="1" applyBorder="1" applyAlignment="1">
      <alignment horizontal="center"/>
    </xf>
    <xf numFmtId="0" fontId="1" fillId="4" borderId="37" xfId="0" applyFont="1" applyFill="1" applyBorder="1" applyAlignment="1">
      <alignment horizontal="left"/>
    </xf>
    <xf numFmtId="0" fontId="1" fillId="4" borderId="38" xfId="0" applyFont="1" applyFill="1" applyBorder="1" applyAlignment="1">
      <alignment horizontal="center"/>
    </xf>
    <xf numFmtId="164" fontId="0" fillId="0" borderId="39" xfId="0" applyNumberFormat="1" applyFont="1" applyBorder="1" applyAlignment="1">
      <alignment wrapText="1"/>
    </xf>
    <xf numFmtId="164" fontId="0" fillId="0" borderId="41" xfId="0" applyNumberFormat="1" applyFont="1" applyBorder="1" applyAlignment="1">
      <alignment wrapText="1"/>
    </xf>
    <xf numFmtId="164" fontId="0" fillId="0" borderId="34" xfId="0" applyNumberFormat="1" applyBorder="1" applyAlignment="1">
      <alignment horizontal="center"/>
    </xf>
    <xf numFmtId="164" fontId="1" fillId="5" borderId="37" xfId="0" applyNumberFormat="1" applyFont="1" applyFill="1" applyBorder="1" applyAlignment="1">
      <alignment wrapText="1"/>
    </xf>
    <xf numFmtId="164" fontId="1" fillId="5" borderId="33" xfId="0" applyNumberFormat="1" applyFont="1" applyFill="1" applyBorder="1" applyAlignment="1">
      <alignment horizontal="center"/>
    </xf>
    <xf numFmtId="164" fontId="1" fillId="5" borderId="38" xfId="0" applyNumberFormat="1" applyFont="1" applyFill="1" applyBorder="1" applyAlignment="1">
      <alignment horizontal="center"/>
    </xf>
    <xf numFmtId="171" fontId="0" fillId="0" borderId="34" xfId="0" applyNumberFormat="1" applyBorder="1" applyAlignment="1">
      <alignment horizontal="center"/>
    </xf>
    <xf numFmtId="171" fontId="0" fillId="0" borderId="42" xfId="0" applyNumberFormat="1" applyBorder="1" applyAlignment="1">
      <alignment horizontal="center"/>
    </xf>
    <xf numFmtId="0" fontId="0" fillId="0" borderId="39" xfId="0" applyBorder="1"/>
    <xf numFmtId="164" fontId="0" fillId="0" borderId="40" xfId="4" applyNumberFormat="1" applyFont="1" applyBorder="1" applyAlignment="1">
      <alignment horizontal="center"/>
    </xf>
    <xf numFmtId="0" fontId="0" fillId="0" borderId="41" xfId="0" applyBorder="1"/>
    <xf numFmtId="164" fontId="0" fillId="0" borderId="34" xfId="4" applyNumberFormat="1" applyFont="1" applyBorder="1" applyAlignment="1">
      <alignment horizontal="center"/>
    </xf>
    <xf numFmtId="164" fontId="0" fillId="0" borderId="42" xfId="4" applyNumberFormat="1" applyFont="1" applyBorder="1" applyAlignment="1">
      <alignment horizontal="center"/>
    </xf>
    <xf numFmtId="0" fontId="1" fillId="4" borderId="33" xfId="0" applyFont="1" applyFill="1" applyBorder="1" applyAlignment="1">
      <alignment horizontal="center" wrapText="1"/>
    </xf>
    <xf numFmtId="0" fontId="1" fillId="4" borderId="53" xfId="0" applyFont="1" applyFill="1" applyBorder="1" applyAlignment="1">
      <alignment horizontal="center" wrapText="1"/>
    </xf>
    <xf numFmtId="170" fontId="0" fillId="0" borderId="34" xfId="0" applyNumberFormat="1" applyBorder="1" applyAlignment="1">
      <alignment horizontal="center"/>
    </xf>
    <xf numFmtId="170" fontId="0" fillId="0" borderId="34" xfId="0" applyNumberFormat="1" applyBorder="1" applyAlignment="1">
      <alignment horizontal="center" vertical="center"/>
    </xf>
    <xf numFmtId="10" fontId="0" fillId="0" borderId="6" xfId="0" applyNumberFormat="1" applyBorder="1" applyAlignment="1">
      <alignment horizontal="center"/>
    </xf>
    <xf numFmtId="10" fontId="0" fillId="0" borderId="54" xfId="0" applyNumberFormat="1" applyBorder="1" applyAlignment="1">
      <alignment horizontal="center"/>
    </xf>
    <xf numFmtId="172" fontId="0" fillId="0" borderId="25" xfId="0" applyNumberFormat="1" applyBorder="1" applyAlignment="1">
      <alignment horizontal="center"/>
    </xf>
    <xf numFmtId="2" fontId="0" fillId="0" borderId="25" xfId="0" applyNumberFormat="1" applyBorder="1" applyAlignment="1">
      <alignment horizontal="center"/>
    </xf>
    <xf numFmtId="164" fontId="1" fillId="4" borderId="7" xfId="4"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0" fontId="0" fillId="0" borderId="0" xfId="0" applyAlignment="1">
      <alignment vertical="center"/>
    </xf>
    <xf numFmtId="170" fontId="0" fillId="0" borderId="0" xfId="0" applyNumberFormat="1" applyBorder="1"/>
    <xf numFmtId="0" fontId="42" fillId="0" borderId="0" xfId="0" applyFont="1" applyBorder="1"/>
    <xf numFmtId="170" fontId="1" fillId="0" borderId="0" xfId="0" applyNumberFormat="1" applyFont="1"/>
    <xf numFmtId="172" fontId="1" fillId="0" borderId="0" xfId="0" applyNumberFormat="1" applyFont="1"/>
    <xf numFmtId="0" fontId="47" fillId="0" borderId="0" xfId="3" applyFont="1"/>
    <xf numFmtId="0" fontId="0" fillId="0" borderId="47" xfId="0" applyBorder="1"/>
    <xf numFmtId="0" fontId="0" fillId="0" borderId="32" xfId="0" applyBorder="1"/>
    <xf numFmtId="0" fontId="1" fillId="6" borderId="31" xfId="0" applyFont="1" applyFill="1" applyBorder="1"/>
    <xf numFmtId="0" fontId="0" fillId="0" borderId="46" xfId="0" applyBorder="1"/>
    <xf numFmtId="2" fontId="0" fillId="0" borderId="0" xfId="0" applyNumberFormat="1" applyBorder="1"/>
    <xf numFmtId="2" fontId="0" fillId="0" borderId="18" xfId="0" applyNumberFormat="1" applyBorder="1"/>
    <xf numFmtId="2" fontId="0" fillId="0" borderId="19" xfId="0" applyNumberFormat="1" applyBorder="1"/>
    <xf numFmtId="0" fontId="1" fillId="6" borderId="50" xfId="0" applyFont="1" applyFill="1" applyBorder="1"/>
    <xf numFmtId="0" fontId="1" fillId="6" borderId="32" xfId="0" applyFont="1" applyFill="1" applyBorder="1"/>
    <xf numFmtId="0" fontId="1" fillId="6" borderId="45" xfId="0" applyFont="1" applyFill="1" applyBorder="1"/>
    <xf numFmtId="0" fontId="1" fillId="6" borderId="46" xfId="0" applyFont="1" applyFill="1" applyBorder="1"/>
    <xf numFmtId="10" fontId="1" fillId="0" borderId="55" xfId="0" applyNumberFormat="1" applyFont="1" applyBorder="1" applyAlignment="1">
      <alignment horizontal="center"/>
    </xf>
    <xf numFmtId="10" fontId="1" fillId="0" borderId="48" xfId="0" applyNumberFormat="1" applyFont="1" applyBorder="1" applyAlignment="1">
      <alignment horizontal="center"/>
    </xf>
    <xf numFmtId="10" fontId="0" fillId="0" borderId="20" xfId="4" applyNumberFormat="1" applyFont="1" applyBorder="1" applyAlignment="1">
      <alignment horizontal="center"/>
    </xf>
    <xf numFmtId="0" fontId="1" fillId="6" borderId="46" xfId="0" applyFont="1" applyFill="1" applyBorder="1" applyAlignment="1">
      <alignment horizontal="center"/>
    </xf>
    <xf numFmtId="0" fontId="0" fillId="6" borderId="46" xfId="0" applyFill="1" applyBorder="1"/>
    <xf numFmtId="0" fontId="1" fillId="6" borderId="47" xfId="0" applyFont="1" applyFill="1" applyBorder="1" applyAlignment="1">
      <alignment horizontal="center"/>
    </xf>
    <xf numFmtId="0" fontId="1" fillId="6" borderId="58" xfId="0" applyFont="1" applyFill="1" applyBorder="1" applyAlignment="1">
      <alignment horizontal="center"/>
    </xf>
    <xf numFmtId="2" fontId="0" fillId="0" borderId="59" xfId="0" applyNumberFormat="1" applyBorder="1" applyAlignment="1">
      <alignment horizontal="center"/>
    </xf>
    <xf numFmtId="9" fontId="32" fillId="0" borderId="0" xfId="4" applyFont="1"/>
    <xf numFmtId="9" fontId="29" fillId="0" borderId="0" xfId="4" applyNumberFormat="1" applyFont="1"/>
    <xf numFmtId="0" fontId="1" fillId="0" borderId="18" xfId="0" applyFont="1" applyBorder="1" applyAlignment="1">
      <alignment wrapText="1"/>
    </xf>
    <xf numFmtId="0" fontId="0" fillId="0" borderId="45" xfId="0" applyBorder="1"/>
    <xf numFmtId="2" fontId="0" fillId="0" borderId="17" xfId="0" applyNumberFormat="1" applyBorder="1"/>
    <xf numFmtId="175" fontId="0" fillId="0" borderId="0" xfId="0" applyNumberFormat="1" applyBorder="1"/>
    <xf numFmtId="175" fontId="0" fillId="0" borderId="17" xfId="0" applyNumberFormat="1" applyBorder="1"/>
    <xf numFmtId="0" fontId="1" fillId="0" borderId="16" xfId="0" applyFont="1" applyFill="1" applyBorder="1"/>
    <xf numFmtId="172" fontId="1" fillId="0" borderId="0" xfId="0" applyNumberFormat="1" applyFont="1" applyBorder="1"/>
    <xf numFmtId="172" fontId="1" fillId="0" borderId="17" xfId="0" applyNumberFormat="1" applyFont="1" applyBorder="1"/>
    <xf numFmtId="0" fontId="0" fillId="0" borderId="18" xfId="0" applyFill="1" applyBorder="1"/>
    <xf numFmtId="175" fontId="0" fillId="0" borderId="19" xfId="0" applyNumberFormat="1" applyBorder="1"/>
    <xf numFmtId="175" fontId="0" fillId="0" borderId="20" xfId="0" applyNumberFormat="1" applyBorder="1"/>
    <xf numFmtId="0" fontId="0" fillId="0" borderId="56" xfId="0" applyBorder="1"/>
    <xf numFmtId="175" fontId="0" fillId="0" borderId="4" xfId="0" applyNumberFormat="1" applyBorder="1"/>
    <xf numFmtId="172" fontId="1" fillId="0" borderId="4" xfId="0" applyNumberFormat="1" applyFont="1" applyBorder="1"/>
    <xf numFmtId="175" fontId="0" fillId="0" borderId="57" xfId="0" applyNumberFormat="1" applyBorder="1"/>
    <xf numFmtId="0" fontId="0" fillId="0" borderId="31" xfId="0" applyFill="1" applyBorder="1"/>
    <xf numFmtId="0" fontId="0" fillId="0" borderId="50" xfId="0" applyBorder="1"/>
    <xf numFmtId="2" fontId="1" fillId="0" borderId="50" xfId="0" applyNumberFormat="1" applyFont="1" applyBorder="1"/>
    <xf numFmtId="0" fontId="0" fillId="0" borderId="31" xfId="0" applyBorder="1"/>
    <xf numFmtId="10" fontId="0" fillId="0" borderId="20" xfId="4" applyNumberFormat="1" applyFont="1" applyBorder="1"/>
    <xf numFmtId="0" fontId="1" fillId="6" borderId="44" xfId="0" applyFont="1" applyFill="1" applyBorder="1"/>
    <xf numFmtId="0" fontId="0" fillId="0" borderId="55" xfId="0" applyBorder="1"/>
    <xf numFmtId="0" fontId="7" fillId="0" borderId="55" xfId="3" applyBorder="1"/>
    <xf numFmtId="0" fontId="42" fillId="0" borderId="0" xfId="0" applyFont="1"/>
    <xf numFmtId="9" fontId="0" fillId="0" borderId="0" xfId="4" applyFont="1" applyAlignment="1">
      <alignment horizontal="center"/>
    </xf>
    <xf numFmtId="0" fontId="0" fillId="0" borderId="19" xfId="0" applyFill="1" applyBorder="1"/>
    <xf numFmtId="0" fontId="0" fillId="0" borderId="20" xfId="0" applyFill="1" applyBorder="1"/>
    <xf numFmtId="0" fontId="1" fillId="6" borderId="45" xfId="0" applyFont="1" applyFill="1" applyBorder="1" applyAlignment="1">
      <alignment horizontal="center"/>
    </xf>
    <xf numFmtId="0" fontId="0" fillId="0" borderId="16" xfId="0" applyBorder="1" applyAlignment="1">
      <alignment horizontal="center"/>
    </xf>
    <xf numFmtId="0" fontId="3" fillId="4" borderId="21" xfId="0" applyFont="1" applyFill="1" applyBorder="1" applyAlignment="1">
      <alignment horizontal="center"/>
    </xf>
    <xf numFmtId="0" fontId="3" fillId="4" borderId="23" xfId="0" applyFont="1" applyFill="1" applyBorder="1" applyAlignment="1">
      <alignment horizontal="center"/>
    </xf>
    <xf numFmtId="0" fontId="2" fillId="0" borderId="16" xfId="0" applyFont="1" applyFill="1" applyBorder="1" applyAlignment="1">
      <alignment horizontal="center"/>
    </xf>
    <xf numFmtId="2" fontId="0" fillId="0" borderId="20" xfId="0" applyNumberFormat="1" applyBorder="1"/>
    <xf numFmtId="0" fontId="3" fillId="5" borderId="16" xfId="0" applyFont="1" applyFill="1" applyBorder="1" applyAlignment="1">
      <alignment horizontal="center"/>
    </xf>
    <xf numFmtId="0" fontId="3" fillId="5" borderId="0" xfId="0" applyFont="1" applyFill="1" applyBorder="1" applyAlignment="1">
      <alignment horizontal="center"/>
    </xf>
    <xf numFmtId="2" fontId="1" fillId="5" borderId="18" xfId="0" applyNumberFormat="1" applyFont="1" applyFill="1" applyBorder="1" applyAlignment="1">
      <alignment horizontal="center"/>
    </xf>
    <xf numFmtId="2" fontId="1" fillId="5" borderId="19" xfId="0" applyNumberFormat="1" applyFont="1" applyFill="1" applyBorder="1" applyAlignment="1">
      <alignment horizontal="center"/>
    </xf>
    <xf numFmtId="10" fontId="32" fillId="0" borderId="0" xfId="0" applyNumberFormat="1" applyFont="1"/>
    <xf numFmtId="164" fontId="32" fillId="0" borderId="0" xfId="0" applyNumberFormat="1" applyFont="1"/>
    <xf numFmtId="166" fontId="32" fillId="0" borderId="0" xfId="0" applyNumberFormat="1" applyFont="1"/>
    <xf numFmtId="0" fontId="48" fillId="0" borderId="0" xfId="0" applyFont="1"/>
    <xf numFmtId="176" fontId="0" fillId="0" borderId="0" xfId="4" applyNumberFormat="1" applyFont="1"/>
    <xf numFmtId="9" fontId="0" fillId="0" borderId="0" xfId="4" applyFont="1"/>
    <xf numFmtId="10" fontId="0" fillId="0" borderId="3" xfId="4" applyNumberFormat="1" applyFont="1" applyBorder="1"/>
    <xf numFmtId="10" fontId="0" fillId="0" borderId="12" xfId="4" applyNumberFormat="1" applyFont="1" applyBorder="1"/>
    <xf numFmtId="10" fontId="0" fillId="0" borderId="1" xfId="4" applyNumberFormat="1" applyFont="1" applyBorder="1"/>
    <xf numFmtId="10" fontId="0" fillId="0" borderId="8" xfId="4" applyNumberFormat="1" applyFont="1" applyBorder="1"/>
    <xf numFmtId="10" fontId="0" fillId="0" borderId="14" xfId="4" applyNumberFormat="1" applyFont="1" applyBorder="1"/>
    <xf numFmtId="10" fontId="0" fillId="0" borderId="6" xfId="4" applyNumberFormat="1" applyFont="1" applyBorder="1"/>
    <xf numFmtId="0" fontId="1" fillId="5" borderId="14" xfId="0" applyFont="1" applyFill="1" applyBorder="1"/>
    <xf numFmtId="164" fontId="0" fillId="0" borderId="15" xfId="4" applyNumberFormat="1" applyFont="1" applyBorder="1"/>
    <xf numFmtId="164" fontId="0" fillId="0" borderId="13" xfId="4" applyNumberFormat="1" applyFont="1" applyBorder="1"/>
    <xf numFmtId="0" fontId="1" fillId="0" borderId="5" xfId="0" applyFont="1" applyBorder="1"/>
    <xf numFmtId="164" fontId="1" fillId="0" borderId="13" xfId="4" applyNumberFormat="1" applyFont="1" applyBorder="1" applyAlignment="1">
      <alignment horizontal="center"/>
    </xf>
    <xf numFmtId="0" fontId="50" fillId="0" borderId="0" xfId="0" applyNumberFormat="1" applyFont="1" applyFill="1" applyBorder="1" applyAlignment="1">
      <alignment horizontal="right"/>
    </xf>
    <xf numFmtId="0" fontId="50" fillId="0" borderId="0" xfId="0" applyNumberFormat="1" applyFont="1" applyFill="1" applyBorder="1" applyAlignment="1">
      <alignment horizontal="right"/>
    </xf>
    <xf numFmtId="0" fontId="50" fillId="0" borderId="0" xfId="0" applyNumberFormat="1" applyFont="1" applyFill="1" applyBorder="1" applyAlignment="1">
      <alignment horizontal="right"/>
    </xf>
    <xf numFmtId="0" fontId="50" fillId="0" borderId="0" xfId="0" applyNumberFormat="1" applyFont="1" applyFill="1" applyBorder="1" applyAlignment="1">
      <alignment horizontal="right"/>
    </xf>
    <xf numFmtId="0" fontId="1" fillId="5" borderId="38" xfId="0" applyFont="1" applyFill="1" applyBorder="1" applyAlignment="1">
      <alignment horizontal="center"/>
    </xf>
    <xf numFmtId="0" fontId="0" fillId="0" borderId="60" xfId="0" applyBorder="1"/>
    <xf numFmtId="0" fontId="1" fillId="5" borderId="42" xfId="0" applyFont="1" applyFill="1" applyBorder="1"/>
    <xf numFmtId="177" fontId="0" fillId="0" borderId="42" xfId="5" applyNumberFormat="1" applyFont="1" applyBorder="1"/>
    <xf numFmtId="177" fontId="0" fillId="0" borderId="40" xfId="5" applyNumberFormat="1" applyFont="1" applyBorder="1"/>
    <xf numFmtId="178" fontId="0" fillId="0" borderId="0" xfId="4" applyNumberFormat="1" applyFont="1"/>
    <xf numFmtId="0" fontId="7" fillId="0" borderId="0" xfId="3" applyAlignment="1">
      <alignment horizontal="left" wrapText="1"/>
    </xf>
    <xf numFmtId="0" fontId="51" fillId="0" borderId="0" xfId="21"/>
    <xf numFmtId="0" fontId="51" fillId="0" borderId="0" xfId="21"/>
    <xf numFmtId="0" fontId="51" fillId="0" borderId="0" xfId="21"/>
    <xf numFmtId="0" fontId="51" fillId="0" borderId="0" xfId="21"/>
    <xf numFmtId="0" fontId="3" fillId="0" borderId="0" xfId="21" applyFont="1" applyFill="1" applyAlignment="1">
      <alignment horizontal="center"/>
    </xf>
    <xf numFmtId="0" fontId="1" fillId="0" borderId="2" xfId="0" applyFont="1" applyBorder="1"/>
    <xf numFmtId="0" fontId="7" fillId="0" borderId="0" xfId="3" applyAlignment="1">
      <alignment horizontal="left"/>
    </xf>
    <xf numFmtId="169" fontId="0" fillId="3" borderId="7" xfId="0" applyNumberFormat="1" applyFill="1" applyBorder="1"/>
    <xf numFmtId="169" fontId="0" fillId="0" borderId="11" xfId="0" applyNumberFormat="1" applyFont="1" applyBorder="1"/>
    <xf numFmtId="3" fontId="3" fillId="0" borderId="0" xfId="0" applyNumberFormat="1" applyFont="1" applyFill="1" applyBorder="1"/>
    <xf numFmtId="3" fontId="1" fillId="0" borderId="0" xfId="0" applyNumberFormat="1" applyFont="1"/>
    <xf numFmtId="169" fontId="1" fillId="4" borderId="61" xfId="0" applyNumberFormat="1" applyFont="1" applyFill="1" applyBorder="1"/>
    <xf numFmtId="169" fontId="1" fillId="0" borderId="13" xfId="0" applyNumberFormat="1" applyFont="1" applyBorder="1" applyAlignment="1">
      <alignment horizontal="center"/>
    </xf>
    <xf numFmtId="0" fontId="45" fillId="0" borderId="0" xfId="0" applyFont="1" applyFill="1" applyBorder="1"/>
    <xf numFmtId="164" fontId="1" fillId="0" borderId="0" xfId="4" applyNumberFormat="1" applyFont="1"/>
    <xf numFmtId="164" fontId="1" fillId="0" borderId="7" xfId="4" applyNumberFormat="1" applyFont="1" applyBorder="1" applyAlignment="1">
      <alignment horizontal="center"/>
    </xf>
    <xf numFmtId="164" fontId="1" fillId="0" borderId="7" xfId="0" applyNumberFormat="1" applyFont="1" applyBorder="1" applyAlignment="1">
      <alignment horizontal="center"/>
    </xf>
    <xf numFmtId="164" fontId="1" fillId="0" borderId="15" xfId="4" applyNumberFormat="1" applyFont="1" applyBorder="1" applyAlignment="1">
      <alignment horizontal="center"/>
    </xf>
    <xf numFmtId="0" fontId="1" fillId="5" borderId="31" xfId="0" applyFont="1" applyFill="1" applyBorder="1"/>
    <xf numFmtId="0" fontId="1" fillId="5" borderId="36" xfId="0" applyFont="1" applyFill="1" applyBorder="1"/>
    <xf numFmtId="1" fontId="1" fillId="5" borderId="35" xfId="0" applyNumberFormat="1" applyFont="1" applyFill="1" applyBorder="1" applyAlignment="1">
      <alignment horizontal="center"/>
    </xf>
    <xf numFmtId="164" fontId="1" fillId="0" borderId="62" xfId="4" applyNumberFormat="1" applyFont="1" applyBorder="1" applyAlignment="1">
      <alignment horizontal="center"/>
    </xf>
    <xf numFmtId="164" fontId="1" fillId="0" borderId="40" xfId="4" applyNumberFormat="1" applyFont="1" applyBorder="1" applyAlignment="1">
      <alignment horizontal="center"/>
    </xf>
    <xf numFmtId="164" fontId="1" fillId="0" borderId="63" xfId="4" applyNumberFormat="1" applyFont="1" applyBorder="1" applyAlignment="1">
      <alignment horizontal="center"/>
    </xf>
    <xf numFmtId="0" fontId="1" fillId="4" borderId="31" xfId="0" applyFont="1" applyFill="1" applyBorder="1"/>
    <xf numFmtId="164" fontId="1" fillId="4" borderId="36" xfId="4" applyNumberFormat="1" applyFont="1" applyFill="1" applyBorder="1" applyAlignment="1">
      <alignment horizontal="center"/>
    </xf>
    <xf numFmtId="164" fontId="1" fillId="4" borderId="35" xfId="4" applyNumberFormat="1" applyFont="1" applyFill="1" applyBorder="1" applyAlignment="1">
      <alignment horizontal="center"/>
    </xf>
    <xf numFmtId="2" fontId="3" fillId="0" borderId="0" xfId="0" applyNumberFormat="1" applyFont="1" applyFill="1" applyBorder="1"/>
    <xf numFmtId="172" fontId="3" fillId="0" borderId="0" xfId="0" applyNumberFormat="1" applyFont="1" applyFill="1" applyBorder="1"/>
    <xf numFmtId="10" fontId="0" fillId="0" borderId="7" xfId="0" applyNumberFormat="1" applyBorder="1" applyAlignment="1">
      <alignment horizontal="center"/>
    </xf>
    <xf numFmtId="0" fontId="0" fillId="0" borderId="0" xfId="0" applyFill="1" applyBorder="1" applyAlignment="1">
      <alignment horizontal="left" wrapText="1"/>
    </xf>
    <xf numFmtId="0" fontId="1" fillId="5" borderId="21" xfId="0" applyFont="1" applyFill="1" applyBorder="1"/>
    <xf numFmtId="0" fontId="1" fillId="5" borderId="22" xfId="0" applyFont="1" applyFill="1" applyBorder="1"/>
    <xf numFmtId="0" fontId="1" fillId="5" borderId="23" xfId="0" applyFont="1" applyFill="1" applyBorder="1"/>
    <xf numFmtId="0" fontId="3" fillId="4" borderId="53" xfId="0" applyFont="1" applyFill="1" applyBorder="1" applyAlignment="1">
      <alignment horizontal="center"/>
    </xf>
    <xf numFmtId="170" fontId="0" fillId="0" borderId="0" xfId="0" applyNumberFormat="1" applyAlignment="1">
      <alignment horizontal="center"/>
    </xf>
    <xf numFmtId="0" fontId="3" fillId="0" borderId="64" xfId="0" applyFont="1" applyFill="1" applyBorder="1" applyAlignment="1">
      <alignment horizontal="left"/>
    </xf>
    <xf numFmtId="0" fontId="0" fillId="0" borderId="57" xfId="0" applyBorder="1" applyAlignment="1">
      <alignment horizontal="center"/>
    </xf>
    <xf numFmtId="0" fontId="0" fillId="0" borderId="19" xfId="0" applyBorder="1" applyAlignment="1">
      <alignment horizontal="center"/>
    </xf>
    <xf numFmtId="0" fontId="0" fillId="0" borderId="65" xfId="0" applyBorder="1" applyAlignment="1">
      <alignment horizontal="center"/>
    </xf>
    <xf numFmtId="0" fontId="29" fillId="12" borderId="6" xfId="0" applyFont="1" applyFill="1" applyBorder="1"/>
    <xf numFmtId="169" fontId="1" fillId="12" borderId="8" xfId="4" applyNumberFormat="1" applyFont="1" applyFill="1" applyBorder="1" applyAlignment="1">
      <alignment horizontal="center"/>
    </xf>
    <xf numFmtId="0" fontId="1" fillId="4" borderId="47" xfId="0" applyFont="1" applyFill="1" applyBorder="1" applyAlignment="1">
      <alignment horizontal="center" wrapText="1"/>
    </xf>
    <xf numFmtId="0" fontId="1" fillId="4" borderId="49" xfId="0" applyFont="1" applyFill="1" applyBorder="1" applyAlignment="1">
      <alignment horizontal="center" wrapText="1"/>
    </xf>
    <xf numFmtId="2" fontId="0" fillId="0" borderId="66" xfId="0" applyNumberFormat="1" applyBorder="1" applyAlignment="1">
      <alignment horizontal="center"/>
    </xf>
    <xf numFmtId="2" fontId="0" fillId="0" borderId="67" xfId="0" applyNumberFormat="1" applyBorder="1" applyAlignment="1">
      <alignment horizontal="center"/>
    </xf>
    <xf numFmtId="0" fontId="1" fillId="4" borderId="21" xfId="0" applyFont="1" applyFill="1" applyBorder="1" applyAlignment="1">
      <alignment horizontal="center" vertical="center" wrapText="1"/>
    </xf>
    <xf numFmtId="0" fontId="20" fillId="5" borderId="0" xfId="0" applyFont="1" applyFill="1" applyBorder="1" applyAlignment="1">
      <alignment horizontal="center"/>
    </xf>
    <xf numFmtId="170" fontId="0" fillId="0" borderId="17" xfId="0" applyNumberFormat="1" applyBorder="1"/>
    <xf numFmtId="0" fontId="1" fillId="6" borderId="0" xfId="0" applyFont="1" applyFill="1" applyBorder="1"/>
    <xf numFmtId="0" fontId="3" fillId="4" borderId="68" xfId="0" applyFont="1" applyFill="1" applyBorder="1" applyAlignment="1">
      <alignment horizontal="center"/>
    </xf>
    <xf numFmtId="0" fontId="0" fillId="0" borderId="55" xfId="0" applyBorder="1" applyAlignment="1">
      <alignment horizontal="center"/>
    </xf>
    <xf numFmtId="0" fontId="3" fillId="5" borderId="55" xfId="0" applyFont="1" applyFill="1" applyBorder="1" applyAlignment="1">
      <alignment horizontal="center"/>
    </xf>
    <xf numFmtId="0" fontId="2" fillId="0" borderId="55" xfId="0" applyFont="1" applyFill="1" applyBorder="1" applyAlignment="1">
      <alignment horizontal="center"/>
    </xf>
    <xf numFmtId="2" fontId="1" fillId="5" borderId="48" xfId="0" applyNumberFormat="1" applyFont="1" applyFill="1" applyBorder="1" applyAlignment="1">
      <alignment horizontal="center"/>
    </xf>
    <xf numFmtId="2" fontId="0" fillId="0" borderId="48" xfId="0" applyNumberFormat="1" applyBorder="1"/>
    <xf numFmtId="0" fontId="1" fillId="0" borderId="31" xfId="0" applyFont="1" applyBorder="1"/>
    <xf numFmtId="0" fontId="1" fillId="0" borderId="50" xfId="0" applyFont="1" applyBorder="1"/>
    <xf numFmtId="10" fontId="1" fillId="0" borderId="32" xfId="4" applyNumberFormat="1" applyFont="1" applyBorder="1"/>
    <xf numFmtId="0" fontId="7" fillId="0" borderId="48" xfId="3" applyBorder="1"/>
    <xf numFmtId="174" fontId="0" fillId="0" borderId="0" xfId="0" applyNumberFormat="1"/>
    <xf numFmtId="9" fontId="1" fillId="0" borderId="0" xfId="4" applyFont="1"/>
    <xf numFmtId="0" fontId="0" fillId="0" borderId="24" xfId="0" applyFill="1" applyBorder="1"/>
    <xf numFmtId="0" fontId="0" fillId="0" borderId="26" xfId="0" applyFont="1" applyFill="1" applyBorder="1"/>
    <xf numFmtId="0" fontId="20" fillId="5" borderId="23" xfId="0" applyFont="1" applyFill="1" applyBorder="1" applyAlignment="1">
      <alignment horizontal="center" wrapText="1"/>
    </xf>
    <xf numFmtId="0" fontId="0" fillId="0" borderId="25" xfId="0" applyBorder="1"/>
    <xf numFmtId="0" fontId="0" fillId="0" borderId="28" xfId="0" applyBorder="1"/>
    <xf numFmtId="0" fontId="20" fillId="5" borderId="68" xfId="0" applyFont="1" applyFill="1" applyBorder="1" applyAlignment="1">
      <alignment horizontal="center"/>
    </xf>
    <xf numFmtId="9" fontId="1" fillId="5" borderId="44" xfId="4" applyFont="1" applyFill="1" applyBorder="1"/>
    <xf numFmtId="9" fontId="1" fillId="5" borderId="44" xfId="4" applyNumberFormat="1" applyFont="1" applyFill="1" applyBorder="1"/>
    <xf numFmtId="0" fontId="0" fillId="4" borderId="31" xfId="0" applyFill="1" applyBorder="1"/>
    <xf numFmtId="0" fontId="0" fillId="4" borderId="44" xfId="0" applyFill="1" applyBorder="1"/>
    <xf numFmtId="10" fontId="1" fillId="0" borderId="44" xfId="0" applyNumberFormat="1" applyFont="1" applyBorder="1"/>
    <xf numFmtId="0" fontId="1" fillId="3" borderId="0" xfId="0" applyFont="1" applyFill="1" applyBorder="1"/>
    <xf numFmtId="169" fontId="1" fillId="3" borderId="0" xfId="0" applyNumberFormat="1" applyFont="1" applyFill="1" applyBorder="1" applyAlignment="1">
      <alignment horizontal="center"/>
    </xf>
    <xf numFmtId="164" fontId="1" fillId="0" borderId="11" xfId="4" applyNumberFormat="1" applyFont="1" applyBorder="1" applyAlignment="1">
      <alignment horizontal="center"/>
    </xf>
    <xf numFmtId="0" fontId="1" fillId="4" borderId="6" xfId="0" applyFont="1" applyFill="1" applyBorder="1" applyAlignment="1">
      <alignment horizontal="left"/>
    </xf>
    <xf numFmtId="169" fontId="52" fillId="4" borderId="34" xfId="0" applyNumberFormat="1" applyFont="1" applyFill="1" applyBorder="1" applyAlignment="1">
      <alignment horizontal="center"/>
    </xf>
    <xf numFmtId="169" fontId="52" fillId="0" borderId="11" xfId="0" applyNumberFormat="1" applyFont="1" applyBorder="1" applyAlignment="1">
      <alignment horizontal="center"/>
    </xf>
    <xf numFmtId="169" fontId="52" fillId="0" borderId="9" xfId="0" applyNumberFormat="1" applyFont="1" applyBorder="1" applyAlignment="1">
      <alignment horizontal="center"/>
    </xf>
    <xf numFmtId="166" fontId="1" fillId="0" borderId="0" xfId="0" applyNumberFormat="1" applyFont="1" applyBorder="1" applyAlignment="1">
      <alignment horizontal="center"/>
    </xf>
    <xf numFmtId="166" fontId="1" fillId="5" borderId="27" xfId="0" applyNumberFormat="1" applyFont="1" applyFill="1" applyBorder="1" applyAlignment="1">
      <alignment horizontal="center"/>
    </xf>
    <xf numFmtId="44" fontId="1" fillId="0" borderId="60" xfId="5" applyFont="1" applyBorder="1" applyAlignment="1">
      <alignment horizontal="center"/>
    </xf>
    <xf numFmtId="44" fontId="0" fillId="0" borderId="60" xfId="5" applyFont="1" applyBorder="1" applyAlignment="1">
      <alignment horizontal="center"/>
    </xf>
    <xf numFmtId="44" fontId="1" fillId="5" borderId="42" xfId="5" applyFont="1" applyFill="1" applyBorder="1"/>
    <xf numFmtId="172" fontId="0" fillId="0" borderId="8" xfId="0" applyNumberFormat="1" applyBorder="1" applyAlignment="1">
      <alignment horizontal="center"/>
    </xf>
    <xf numFmtId="0" fontId="1" fillId="4" borderId="6" xfId="0" applyFont="1" applyFill="1" applyBorder="1" applyAlignment="1">
      <alignment vertical="center" wrapText="1"/>
    </xf>
    <xf numFmtId="0" fontId="0" fillId="0" borderId="0" xfId="0" applyAlignment="1">
      <alignment horizontal="left" wrapText="1"/>
    </xf>
    <xf numFmtId="0" fontId="1" fillId="5" borderId="0" xfId="0" applyFont="1" applyFill="1" applyBorder="1"/>
    <xf numFmtId="166" fontId="1" fillId="5" borderId="0" xfId="0" applyNumberFormat="1" applyFont="1" applyFill="1" applyBorder="1" applyAlignment="1">
      <alignment horizontal="center"/>
    </xf>
    <xf numFmtId="44" fontId="1" fillId="5" borderId="0" xfId="5" applyFont="1" applyFill="1" applyBorder="1"/>
    <xf numFmtId="0" fontId="1" fillId="5" borderId="38" xfId="0" applyFont="1" applyFill="1" applyBorder="1" applyAlignment="1">
      <alignment horizontal="center" wrapText="1"/>
    </xf>
    <xf numFmtId="2" fontId="0" fillId="0" borderId="19" xfId="0" applyNumberFormat="1" applyBorder="1" applyAlignment="1">
      <alignment horizontal="center"/>
    </xf>
    <xf numFmtId="177" fontId="0" fillId="0" borderId="67" xfId="0" applyNumberFormat="1" applyBorder="1"/>
    <xf numFmtId="177" fontId="0" fillId="0" borderId="66" xfId="5" applyNumberFormat="1" applyFont="1" applyBorder="1"/>
    <xf numFmtId="169" fontId="1" fillId="4" borderId="7" xfId="0" applyNumberFormat="1" applyFont="1" applyFill="1" applyBorder="1"/>
    <xf numFmtId="0" fontId="29" fillId="4" borderId="6" xfId="0" applyFont="1" applyFill="1" applyBorder="1"/>
    <xf numFmtId="169" fontId="0" fillId="7" borderId="4" xfId="0" applyNumberFormat="1" applyFont="1" applyFill="1" applyBorder="1" applyAlignment="1">
      <alignment horizontal="center" vertical="center"/>
    </xf>
    <xf numFmtId="169" fontId="0" fillId="7" borderId="4" xfId="0" applyNumberFormat="1" applyFont="1" applyFill="1" applyBorder="1" applyAlignment="1">
      <alignment horizontal="center"/>
    </xf>
    <xf numFmtId="169" fontId="0" fillId="0" borderId="14" xfId="0" applyNumberFormat="1" applyBorder="1" applyAlignment="1">
      <alignment horizontal="center"/>
    </xf>
    <xf numFmtId="169" fontId="0" fillId="0" borderId="4" xfId="0" applyNumberFormat="1" applyBorder="1" applyAlignment="1">
      <alignment horizontal="center"/>
    </xf>
    <xf numFmtId="169" fontId="0" fillId="0" borderId="4" xfId="0" applyNumberFormat="1" applyFont="1" applyBorder="1" applyAlignment="1">
      <alignment horizontal="center"/>
    </xf>
    <xf numFmtId="169" fontId="1" fillId="12" borderId="6" xfId="0" applyNumberFormat="1" applyFont="1" applyFill="1" applyBorder="1" applyAlignment="1">
      <alignment horizontal="center"/>
    </xf>
    <xf numFmtId="169" fontId="1" fillId="4" borderId="6" xfId="0" applyNumberFormat="1" applyFont="1" applyFill="1" applyBorder="1" applyAlignment="1">
      <alignment wrapText="1"/>
    </xf>
    <xf numFmtId="169" fontId="1" fillId="4" borderId="8" xfId="0" applyNumberFormat="1" applyFont="1" applyFill="1" applyBorder="1" applyAlignment="1">
      <alignment wrapText="1"/>
    </xf>
    <xf numFmtId="169" fontId="0" fillId="7" borderId="11" xfId="0" applyNumberFormat="1" applyFont="1" applyFill="1" applyBorder="1" applyAlignment="1">
      <alignment horizontal="center" vertical="center"/>
    </xf>
    <xf numFmtId="169" fontId="0" fillId="7" borderId="11" xfId="0" applyNumberFormat="1" applyFont="1" applyFill="1" applyBorder="1" applyAlignment="1">
      <alignment horizontal="center"/>
    </xf>
    <xf numFmtId="169" fontId="0" fillId="0" borderId="15" xfId="0" applyNumberFormat="1" applyBorder="1" applyAlignment="1">
      <alignment horizontal="center"/>
    </xf>
    <xf numFmtId="169" fontId="1" fillId="12" borderId="7" xfId="0" applyNumberFormat="1" applyFont="1" applyFill="1" applyBorder="1" applyAlignment="1">
      <alignment horizontal="center"/>
    </xf>
    <xf numFmtId="170" fontId="0" fillId="0" borderId="11" xfId="0" applyNumberFormat="1" applyFont="1" applyBorder="1" applyAlignment="1">
      <alignment horizontal="center"/>
    </xf>
    <xf numFmtId="170" fontId="0" fillId="8" borderId="11" xfId="0" applyNumberFormat="1" applyFont="1" applyFill="1" applyBorder="1" applyAlignment="1">
      <alignment horizontal="center"/>
    </xf>
    <xf numFmtId="170" fontId="0" fillId="9" borderId="11" xfId="0" applyNumberFormat="1" applyFill="1" applyBorder="1" applyAlignment="1">
      <alignment horizontal="center"/>
    </xf>
    <xf numFmtId="170" fontId="0" fillId="9" borderId="11" xfId="0" applyNumberFormat="1" applyFont="1" applyFill="1" applyBorder="1" applyAlignment="1">
      <alignment horizontal="center"/>
    </xf>
    <xf numFmtId="166" fontId="1" fillId="3" borderId="7" xfId="0" applyNumberFormat="1" applyFont="1" applyFill="1" applyBorder="1" applyAlignment="1">
      <alignment horizontal="center"/>
    </xf>
    <xf numFmtId="164" fontId="0" fillId="0" borderId="11" xfId="4" applyNumberFormat="1" applyFont="1" applyBorder="1" applyAlignment="1">
      <alignment horizontal="center"/>
    </xf>
    <xf numFmtId="164" fontId="0" fillId="8" borderId="11" xfId="4" applyNumberFormat="1" applyFont="1" applyFill="1" applyBorder="1" applyAlignment="1">
      <alignment horizontal="center"/>
    </xf>
    <xf numFmtId="164" fontId="0" fillId="9" borderId="11" xfId="4" applyNumberFormat="1" applyFont="1" applyFill="1" applyBorder="1" applyAlignment="1">
      <alignment horizontal="center"/>
    </xf>
    <xf numFmtId="9" fontId="1" fillId="3" borderId="7" xfId="4" applyFont="1" applyFill="1" applyBorder="1" applyAlignment="1">
      <alignment horizontal="center"/>
    </xf>
    <xf numFmtId="0" fontId="14" fillId="0" borderId="0" xfId="0" applyFont="1" applyAlignment="1">
      <alignment horizontal="right" wrapText="1"/>
    </xf>
    <xf numFmtId="0" fontId="14" fillId="0" borderId="0" xfId="0" applyFont="1" applyAlignment="1">
      <alignment horizontal="right"/>
    </xf>
    <xf numFmtId="0" fontId="14" fillId="0" borderId="0" xfId="0" applyFont="1" applyAlignment="1">
      <alignment wrapText="1"/>
    </xf>
    <xf numFmtId="0" fontId="9" fillId="0" borderId="19" xfId="0" applyFont="1" applyBorder="1" applyAlignment="1">
      <alignment horizontal="right"/>
    </xf>
    <xf numFmtId="0" fontId="14" fillId="0" borderId="19" xfId="0" applyFont="1" applyBorder="1" applyAlignment="1">
      <alignment horizontal="left"/>
    </xf>
    <xf numFmtId="0" fontId="14" fillId="12" borderId="0" xfId="0" applyFont="1" applyFill="1" applyAlignment="1">
      <alignment horizontal="right"/>
    </xf>
    <xf numFmtId="0" fontId="14" fillId="12" borderId="0" xfId="0" applyFont="1" applyFill="1" applyAlignment="1">
      <alignment horizontal="right" wrapText="1"/>
    </xf>
    <xf numFmtId="0" fontId="14" fillId="12" borderId="0" xfId="0" applyFont="1" applyFill="1" applyAlignment="1">
      <alignment wrapText="1"/>
    </xf>
    <xf numFmtId="0" fontId="0" fillId="12" borderId="0" xfId="0" applyFill="1"/>
    <xf numFmtId="0" fontId="1" fillId="0" borderId="4" xfId="0" applyFont="1" applyBorder="1" applyAlignment="1">
      <alignment wrapText="1"/>
    </xf>
    <xf numFmtId="0" fontId="29" fillId="0" borderId="16" xfId="0" applyFont="1" applyFill="1" applyBorder="1" applyAlignment="1">
      <alignment wrapText="1"/>
    </xf>
    <xf numFmtId="169" fontId="0" fillId="0" borderId="0" xfId="0" applyNumberFormat="1" applyBorder="1"/>
    <xf numFmtId="0" fontId="1" fillId="4" borderId="53" xfId="0" applyNumberFormat="1" applyFont="1" applyFill="1" applyBorder="1" applyAlignment="1">
      <alignment horizontal="center" vertical="center"/>
    </xf>
    <xf numFmtId="0" fontId="25" fillId="5" borderId="57" xfId="0" applyFont="1" applyFill="1" applyBorder="1"/>
    <xf numFmtId="169" fontId="1" fillId="4" borderId="38" xfId="0" applyNumberFormat="1" applyFont="1" applyFill="1" applyBorder="1" applyAlignment="1">
      <alignment horizontal="center" vertical="center"/>
    </xf>
    <xf numFmtId="164" fontId="0" fillId="0" borderId="60" xfId="4" applyNumberFormat="1" applyFont="1" applyBorder="1" applyAlignment="1">
      <alignment horizontal="center"/>
    </xf>
    <xf numFmtId="9" fontId="1" fillId="5" borderId="69" xfId="4" applyFont="1" applyFill="1" applyBorder="1" applyAlignment="1">
      <alignment horizontal="center"/>
    </xf>
    <xf numFmtId="169" fontId="1" fillId="5" borderId="7" xfId="0" applyNumberFormat="1" applyFont="1" applyFill="1" applyBorder="1"/>
    <xf numFmtId="0" fontId="25" fillId="5" borderId="7" xfId="0" applyFont="1" applyFill="1" applyBorder="1" applyAlignment="1">
      <alignment wrapText="1"/>
    </xf>
    <xf numFmtId="166" fontId="1" fillId="5" borderId="7" xfId="0" applyNumberFormat="1" applyFont="1" applyFill="1" applyBorder="1"/>
    <xf numFmtId="169" fontId="0" fillId="0" borderId="0" xfId="0" quotePrefix="1" applyNumberFormat="1" applyFont="1" applyBorder="1"/>
    <xf numFmtId="0" fontId="29" fillId="0" borderId="2" xfId="0" applyFont="1" applyFill="1" applyBorder="1" applyAlignment="1">
      <alignment wrapText="1"/>
    </xf>
    <xf numFmtId="169" fontId="0" fillId="0" borderId="2" xfId="0" applyNumberFormat="1" applyFont="1" applyBorder="1"/>
    <xf numFmtId="169" fontId="0" fillId="0" borderId="13" xfId="0" applyNumberFormat="1" applyFont="1" applyBorder="1"/>
    <xf numFmtId="169" fontId="0" fillId="0" borderId="70" xfId="0" applyNumberFormat="1" applyFont="1" applyBorder="1"/>
    <xf numFmtId="0" fontId="0" fillId="0" borderId="71" xfId="0" applyBorder="1"/>
    <xf numFmtId="0" fontId="3" fillId="0" borderId="71" xfId="0" applyFont="1" applyFill="1" applyBorder="1" applyAlignment="1">
      <alignment horizontal="left"/>
    </xf>
    <xf numFmtId="0" fontId="3" fillId="0" borderId="71" xfId="0" applyFont="1" applyFill="1" applyBorder="1" applyAlignment="1">
      <alignment horizontal="right"/>
    </xf>
    <xf numFmtId="164" fontId="0" fillId="0" borderId="0" xfId="4" applyNumberFormat="1" applyFont="1"/>
    <xf numFmtId="0" fontId="1" fillId="0" borderId="0" xfId="0" applyFont="1" applyAlignment="1">
      <alignment horizontal="left" vertical="top" wrapText="1"/>
    </xf>
    <xf numFmtId="0" fontId="1" fillId="13" borderId="7" xfId="0" applyFont="1" applyFill="1" applyBorder="1" applyAlignment="1">
      <alignment horizontal="left" vertical="top" wrapText="1"/>
    </xf>
    <xf numFmtId="0" fontId="1" fillId="13" borderId="7" xfId="0" applyFont="1" applyFill="1" applyBorder="1" applyAlignment="1">
      <alignment horizontal="center" vertical="top" wrapText="1"/>
    </xf>
    <xf numFmtId="0" fontId="1" fillId="0" borderId="7" xfId="0" applyFont="1" applyBorder="1" applyAlignment="1">
      <alignment horizontal="left" vertical="top" wrapText="1"/>
    </xf>
    <xf numFmtId="164" fontId="1" fillId="0" borderId="7" xfId="0" applyNumberFormat="1" applyFont="1" applyBorder="1" applyAlignment="1">
      <alignment horizontal="center" vertical="top" wrapText="1"/>
    </xf>
    <xf numFmtId="168" fontId="1" fillId="0" borderId="7" xfId="0" applyNumberFormat="1" applyFont="1" applyBorder="1" applyAlignment="1">
      <alignment horizontal="left" vertical="top" wrapText="1"/>
    </xf>
    <xf numFmtId="0" fontId="0" fillId="0" borderId="7" xfId="0" applyFill="1" applyBorder="1"/>
    <xf numFmtId="0" fontId="1" fillId="0" borderId="0" xfId="0" applyFont="1" applyBorder="1" applyAlignment="1">
      <alignment horizontal="left" vertical="top" wrapText="1"/>
    </xf>
    <xf numFmtId="168" fontId="1" fillId="0" borderId="0" xfId="0" applyNumberFormat="1" applyFont="1" applyBorder="1" applyAlignment="1">
      <alignment horizontal="left" vertical="top" wrapText="1"/>
    </xf>
    <xf numFmtId="164" fontId="1" fillId="0" borderId="0" xfId="0" applyNumberFormat="1" applyFont="1" applyBorder="1" applyAlignment="1">
      <alignment horizontal="center" vertical="top" wrapText="1"/>
    </xf>
    <xf numFmtId="10" fontId="3" fillId="0" borderId="0" xfId="0" applyNumberFormat="1" applyFont="1" applyFill="1" applyBorder="1"/>
    <xf numFmtId="164" fontId="3" fillId="0" borderId="0" xfId="0" applyNumberFormat="1" applyFont="1" applyFill="1" applyBorder="1"/>
    <xf numFmtId="166" fontId="3" fillId="0" borderId="1" xfId="5" applyNumberFormat="1" applyFont="1" applyFill="1" applyBorder="1"/>
    <xf numFmtId="170" fontId="0" fillId="4" borderId="0" xfId="0" applyNumberFormat="1" applyFill="1"/>
    <xf numFmtId="0" fontId="1" fillId="4" borderId="0" xfId="0" applyFont="1" applyFill="1"/>
    <xf numFmtId="0" fontId="1" fillId="0" borderId="0" xfId="0" applyFont="1" applyAlignment="1">
      <alignment horizontal="left" wrapText="1"/>
    </xf>
    <xf numFmtId="0" fontId="0" fillId="0" borderId="0" xfId="0" applyFill="1" applyBorder="1" applyAlignment="1">
      <alignment horizontal="left" wrapText="1"/>
    </xf>
    <xf numFmtId="0" fontId="0" fillId="0" borderId="0" xfId="0" applyAlignment="1">
      <alignment horizontal="left" wrapText="1"/>
    </xf>
    <xf numFmtId="0" fontId="1" fillId="2" borderId="19" xfId="0" applyFont="1" applyFill="1" applyBorder="1" applyAlignment="1">
      <alignment horizontal="right"/>
    </xf>
    <xf numFmtId="0" fontId="1" fillId="2" borderId="0" xfId="0" applyFont="1" applyFill="1" applyAlignment="1">
      <alignment horizontal="right"/>
    </xf>
    <xf numFmtId="164" fontId="0" fillId="2" borderId="0" xfId="4" applyNumberFormat="1" applyFont="1" applyFill="1"/>
    <xf numFmtId="0" fontId="0" fillId="2" borderId="19" xfId="0" applyFill="1" applyBorder="1" applyAlignment="1">
      <alignment horizontal="left"/>
    </xf>
    <xf numFmtId="0" fontId="1" fillId="0" borderId="71" xfId="0" applyFont="1" applyBorder="1"/>
    <xf numFmtId="0" fontId="0" fillId="2" borderId="0" xfId="0" applyFill="1" applyBorder="1" applyAlignment="1">
      <alignment horizontal="left"/>
    </xf>
    <xf numFmtId="0" fontId="1" fillId="4" borderId="38" xfId="0" applyFont="1" applyFill="1" applyBorder="1" applyAlignment="1">
      <alignment horizontal="center" vertical="center"/>
    </xf>
    <xf numFmtId="0" fontId="0" fillId="2" borderId="16" xfId="0" applyFill="1" applyBorder="1"/>
    <xf numFmtId="0" fontId="25" fillId="0" borderId="18" xfId="0" applyFont="1" applyFill="1" applyBorder="1"/>
    <xf numFmtId="164" fontId="0" fillId="0" borderId="69" xfId="4" applyNumberFormat="1" applyFont="1" applyBorder="1" applyAlignment="1">
      <alignment horizontal="center"/>
    </xf>
    <xf numFmtId="0" fontId="1" fillId="4" borderId="33" xfId="0" applyFont="1" applyFill="1" applyBorder="1" applyAlignment="1">
      <alignment horizontal="center" vertical="center"/>
    </xf>
    <xf numFmtId="169" fontId="0" fillId="2" borderId="11" xfId="0" applyNumberFormat="1" applyFont="1" applyFill="1" applyBorder="1" applyAlignment="1">
      <alignment horizontal="center" vertical="center"/>
    </xf>
    <xf numFmtId="166" fontId="1" fillId="0" borderId="59" xfId="0" applyNumberFormat="1" applyFont="1" applyBorder="1" applyAlignment="1">
      <alignment horizontal="center"/>
    </xf>
    <xf numFmtId="0" fontId="29" fillId="3" borderId="16" xfId="0" applyFont="1" applyFill="1" applyBorder="1"/>
    <xf numFmtId="166" fontId="0" fillId="3" borderId="11" xfId="0" applyNumberFormat="1" applyFont="1" applyFill="1" applyBorder="1" applyAlignment="1">
      <alignment horizontal="center"/>
    </xf>
    <xf numFmtId="164" fontId="0" fillId="3" borderId="60" xfId="4" applyNumberFormat="1" applyFont="1" applyFill="1" applyBorder="1" applyAlignment="1">
      <alignment horizontal="center"/>
    </xf>
    <xf numFmtId="0" fontId="29" fillId="4" borderId="16" xfId="0" applyFont="1" applyFill="1" applyBorder="1"/>
    <xf numFmtId="166" fontId="0" fillId="4" borderId="11" xfId="0" applyNumberFormat="1" applyFont="1" applyFill="1" applyBorder="1" applyAlignment="1">
      <alignment horizontal="center"/>
    </xf>
    <xf numFmtId="164" fontId="0" fillId="4" borderId="60" xfId="4" applyNumberFormat="1" applyFont="1" applyFill="1" applyBorder="1" applyAlignment="1">
      <alignment horizontal="center"/>
    </xf>
    <xf numFmtId="0" fontId="29" fillId="5" borderId="16" xfId="0" applyFont="1" applyFill="1" applyBorder="1"/>
    <xf numFmtId="166" fontId="0" fillId="5" borderId="11" xfId="0" applyNumberFormat="1" applyFont="1" applyFill="1" applyBorder="1" applyAlignment="1">
      <alignment horizontal="center"/>
    </xf>
    <xf numFmtId="164" fontId="0" fillId="5" borderId="60" xfId="4" applyNumberFormat="1" applyFont="1" applyFill="1" applyBorder="1" applyAlignment="1">
      <alignment horizontal="center"/>
    </xf>
    <xf numFmtId="0" fontId="0" fillId="2" borderId="29" xfId="0" applyFill="1" applyBorder="1"/>
    <xf numFmtId="169" fontId="0" fillId="2" borderId="15" xfId="0" applyNumberFormat="1" applyFont="1" applyFill="1" applyBorder="1" applyAlignment="1">
      <alignment horizontal="center" vertical="center"/>
    </xf>
    <xf numFmtId="0" fontId="0" fillId="2" borderId="81" xfId="0" applyFill="1" applyBorder="1"/>
    <xf numFmtId="169" fontId="0" fillId="2" borderId="82" xfId="0" applyNumberFormat="1" applyFont="1" applyFill="1" applyBorder="1" applyAlignment="1">
      <alignment horizontal="center" vertical="center"/>
    </xf>
    <xf numFmtId="0" fontId="1" fillId="4" borderId="53" xfId="0" applyFont="1" applyFill="1" applyBorder="1" applyAlignment="1">
      <alignment horizontal="center"/>
    </xf>
    <xf numFmtId="169" fontId="1" fillId="0" borderId="14" xfId="0" applyNumberFormat="1" applyFont="1" applyBorder="1"/>
    <xf numFmtId="169" fontId="1" fillId="0" borderId="4" xfId="0" applyNumberFormat="1" applyFont="1" applyBorder="1" applyAlignment="1">
      <alignment wrapText="1"/>
    </xf>
    <xf numFmtId="169" fontId="1" fillId="0" borderId="57" xfId="0" applyNumberFormat="1" applyFont="1" applyBorder="1" applyAlignment="1">
      <alignment wrapText="1"/>
    </xf>
    <xf numFmtId="169" fontId="1" fillId="0" borderId="4" xfId="0" applyNumberFormat="1" applyFont="1" applyBorder="1"/>
    <xf numFmtId="169" fontId="1" fillId="0" borderId="57" xfId="0" applyNumberFormat="1" applyFont="1" applyBorder="1"/>
    <xf numFmtId="0" fontId="0" fillId="0" borderId="57" xfId="0" applyBorder="1"/>
    <xf numFmtId="0" fontId="1" fillId="4" borderId="68" xfId="0" applyFont="1" applyFill="1" applyBorder="1" applyAlignment="1">
      <alignment horizontal="center"/>
    </xf>
    <xf numFmtId="0" fontId="0" fillId="0" borderId="66" xfId="0" applyBorder="1"/>
    <xf numFmtId="169" fontId="1" fillId="0" borderId="6" xfId="0" applyNumberFormat="1" applyFont="1" applyBorder="1"/>
    <xf numFmtId="0" fontId="0" fillId="0" borderId="48" xfId="0" applyBorder="1"/>
    <xf numFmtId="166" fontId="1" fillId="0" borderId="6" xfId="0" applyNumberFormat="1" applyFont="1" applyBorder="1"/>
    <xf numFmtId="166" fontId="1" fillId="0" borderId="57" xfId="0" applyNumberFormat="1" applyFont="1" applyBorder="1"/>
    <xf numFmtId="170" fontId="0" fillId="0" borderId="15" xfId="0" applyNumberFormat="1" applyBorder="1" applyAlignment="1">
      <alignment horizontal="center"/>
    </xf>
    <xf numFmtId="170" fontId="0" fillId="0" borderId="15" xfId="0" applyNumberFormat="1" applyBorder="1" applyAlignment="1">
      <alignment horizontal="center" vertical="center"/>
    </xf>
    <xf numFmtId="171" fontId="0" fillId="0" borderId="15" xfId="0" applyNumberFormat="1" applyBorder="1" applyAlignment="1">
      <alignment horizontal="center"/>
    </xf>
    <xf numFmtId="0" fontId="1" fillId="0" borderId="26" xfId="0" applyFont="1" applyFill="1" applyBorder="1"/>
    <xf numFmtId="10" fontId="0" fillId="0" borderId="40" xfId="0" applyNumberFormat="1" applyBorder="1" applyAlignment="1">
      <alignment horizontal="center"/>
    </xf>
    <xf numFmtId="10" fontId="0" fillId="0" borderId="42" xfId="0" applyNumberFormat="1" applyBorder="1" applyAlignment="1">
      <alignment horizontal="center"/>
    </xf>
    <xf numFmtId="164" fontId="0" fillId="0" borderId="6" xfId="0" applyNumberFormat="1" applyBorder="1" applyAlignment="1">
      <alignment horizontal="center"/>
    </xf>
    <xf numFmtId="164" fontId="0" fillId="0" borderId="14" xfId="0" applyNumberFormat="1" applyBorder="1" applyAlignment="1">
      <alignment horizontal="center"/>
    </xf>
    <xf numFmtId="164" fontId="0" fillId="0" borderId="54" xfId="0" applyNumberFormat="1" applyBorder="1" applyAlignment="1">
      <alignment horizontal="center"/>
    </xf>
    <xf numFmtId="0" fontId="1" fillId="4" borderId="68" xfId="0" applyFont="1" applyFill="1" applyBorder="1" applyAlignment="1">
      <alignment horizontal="center" wrapText="1"/>
    </xf>
    <xf numFmtId="10" fontId="1" fillId="0" borderId="66" xfId="0" applyNumberFormat="1" applyFont="1" applyBorder="1" applyAlignment="1">
      <alignment horizontal="center"/>
    </xf>
    <xf numFmtId="10" fontId="1" fillId="0" borderId="85" xfId="0" applyNumberFormat="1" applyFont="1" applyBorder="1" applyAlignment="1">
      <alignment horizontal="center"/>
    </xf>
    <xf numFmtId="10" fontId="1" fillId="0" borderId="67" xfId="0" applyNumberFormat="1" applyFont="1" applyBorder="1" applyAlignment="1">
      <alignment horizontal="center"/>
    </xf>
    <xf numFmtId="170" fontId="0" fillId="0" borderId="0" xfId="0" applyNumberFormat="1" applyBorder="1" applyAlignment="1">
      <alignment horizontal="center" vertical="center"/>
    </xf>
    <xf numFmtId="10" fontId="1" fillId="0" borderId="0" xfId="0" applyNumberFormat="1" applyFont="1" applyBorder="1" applyAlignment="1">
      <alignment horizontal="center"/>
    </xf>
    <xf numFmtId="0" fontId="0" fillId="2" borderId="3" xfId="0" applyFill="1" applyBorder="1"/>
    <xf numFmtId="0" fontId="0" fillId="2" borderId="18" xfId="0" applyFill="1" applyBorder="1"/>
    <xf numFmtId="0" fontId="0" fillId="0" borderId="55" xfId="0" applyBorder="1" applyAlignment="1">
      <alignment horizontal="center" vertical="center"/>
    </xf>
    <xf numFmtId="0" fontId="0" fillId="0" borderId="55" xfId="0" applyFill="1" applyBorder="1" applyAlignment="1">
      <alignment horizontal="center" vertical="center"/>
    </xf>
    <xf numFmtId="0" fontId="1" fillId="4" borderId="31" xfId="0" applyFont="1" applyFill="1" applyBorder="1" applyAlignment="1">
      <alignment horizontal="center" wrapText="1"/>
    </xf>
    <xf numFmtId="0" fontId="1" fillId="4" borderId="44" xfId="0" applyFont="1" applyFill="1" applyBorder="1" applyAlignment="1">
      <alignment horizontal="center" wrapText="1"/>
    </xf>
    <xf numFmtId="0" fontId="50" fillId="0" borderId="3" xfId="0" applyNumberFormat="1" applyFont="1" applyFill="1" applyBorder="1" applyAlignment="1">
      <alignment horizontal="right"/>
    </xf>
    <xf numFmtId="9" fontId="0" fillId="0" borderId="2" xfId="4" applyFont="1" applyBorder="1"/>
    <xf numFmtId="2" fontId="2" fillId="0" borderId="14" xfId="0" applyNumberFormat="1" applyFont="1" applyFill="1" applyBorder="1" applyAlignment="1">
      <alignment horizontal="center"/>
    </xf>
    <xf numFmtId="2" fontId="2" fillId="0" borderId="6" xfId="0" applyNumberFormat="1" applyFont="1" applyFill="1" applyBorder="1" applyAlignment="1">
      <alignment horizontal="center"/>
    </xf>
    <xf numFmtId="0" fontId="0" fillId="2" borderId="45" xfId="0" applyFill="1" applyBorder="1"/>
    <xf numFmtId="170" fontId="0" fillId="0" borderId="58" xfId="0" applyNumberFormat="1" applyBorder="1" applyAlignment="1">
      <alignment horizontal="center" vertical="center"/>
    </xf>
    <xf numFmtId="171" fontId="0" fillId="0" borderId="58" xfId="0" applyNumberFormat="1" applyBorder="1" applyAlignment="1">
      <alignment horizontal="center"/>
    </xf>
    <xf numFmtId="164" fontId="0" fillId="0" borderId="56" xfId="0" applyNumberFormat="1" applyBorder="1" applyAlignment="1">
      <alignment horizontal="center"/>
    </xf>
    <xf numFmtId="170" fontId="0" fillId="0" borderId="86" xfId="0" applyNumberFormat="1" applyBorder="1" applyAlignment="1">
      <alignment horizontal="center"/>
    </xf>
    <xf numFmtId="170" fontId="0" fillId="0" borderId="36" xfId="0" applyNumberFormat="1" applyBorder="1" applyAlignment="1">
      <alignment horizontal="center" vertical="center"/>
    </xf>
    <xf numFmtId="171" fontId="0" fillId="0" borderId="36" xfId="0" applyNumberFormat="1" applyBorder="1" applyAlignment="1">
      <alignment horizontal="center"/>
    </xf>
    <xf numFmtId="164" fontId="0" fillId="0" borderId="84" xfId="0" applyNumberFormat="1" applyBorder="1" applyAlignment="1">
      <alignment horizontal="center"/>
    </xf>
    <xf numFmtId="170" fontId="0" fillId="0" borderId="87" xfId="0" applyNumberFormat="1" applyBorder="1" applyAlignment="1">
      <alignment horizontal="center"/>
    </xf>
    <xf numFmtId="0" fontId="0" fillId="2" borderId="31" xfId="0" applyFill="1" applyBorder="1"/>
    <xf numFmtId="164" fontId="1" fillId="0" borderId="66" xfId="0" applyNumberFormat="1" applyFont="1" applyBorder="1" applyAlignment="1">
      <alignment horizontal="center"/>
    </xf>
    <xf numFmtId="164" fontId="1" fillId="0" borderId="85" xfId="0" applyNumberFormat="1" applyFont="1" applyBorder="1" applyAlignment="1">
      <alignment horizontal="center"/>
    </xf>
    <xf numFmtId="164" fontId="1" fillId="0" borderId="67" xfId="0" applyNumberFormat="1" applyFont="1" applyBorder="1" applyAlignment="1">
      <alignment horizontal="center"/>
    </xf>
    <xf numFmtId="164" fontId="1" fillId="0" borderId="49" xfId="0" applyNumberFormat="1" applyFont="1" applyBorder="1" applyAlignment="1">
      <alignment horizontal="center"/>
    </xf>
    <xf numFmtId="164" fontId="1" fillId="0" borderId="44" xfId="0" applyNumberFormat="1" applyFont="1" applyBorder="1" applyAlignment="1">
      <alignment horizontal="center"/>
    </xf>
    <xf numFmtId="164" fontId="1" fillId="0" borderId="0" xfId="0" applyNumberFormat="1" applyFont="1" applyBorder="1" applyAlignment="1">
      <alignment horizontal="center"/>
    </xf>
    <xf numFmtId="164" fontId="1" fillId="0" borderId="46" xfId="0" applyNumberFormat="1" applyFont="1" applyBorder="1" applyAlignment="1">
      <alignment horizontal="center"/>
    </xf>
    <xf numFmtId="0" fontId="0" fillId="5" borderId="49" xfId="0" applyFill="1" applyBorder="1"/>
    <xf numFmtId="0" fontId="0" fillId="5" borderId="55" xfId="0" applyFill="1" applyBorder="1"/>
    <xf numFmtId="164" fontId="0" fillId="2" borderId="63" xfId="4" applyNumberFormat="1" applyFont="1" applyFill="1" applyBorder="1" applyAlignment="1">
      <alignment horizontal="center" vertical="center"/>
    </xf>
    <xf numFmtId="164" fontId="0" fillId="2" borderId="60" xfId="4" applyNumberFormat="1" applyFont="1" applyFill="1" applyBorder="1" applyAlignment="1">
      <alignment horizontal="center" vertical="center"/>
    </xf>
    <xf numFmtId="10" fontId="0" fillId="2" borderId="63" xfId="4" applyNumberFormat="1" applyFont="1" applyFill="1" applyBorder="1" applyAlignment="1">
      <alignment horizontal="center" vertical="center"/>
    </xf>
    <xf numFmtId="164" fontId="7" fillId="0" borderId="0" xfId="3" applyNumberFormat="1"/>
    <xf numFmtId="10" fontId="0" fillId="0" borderId="34" xfId="0" applyNumberFormat="1" applyBorder="1" applyAlignment="1">
      <alignment horizontal="center"/>
    </xf>
    <xf numFmtId="164" fontId="0" fillId="2" borderId="32" xfId="4" applyNumberFormat="1" applyFont="1" applyFill="1" applyBorder="1" applyAlignment="1">
      <alignment horizontal="center" vertical="center"/>
    </xf>
    <xf numFmtId="169" fontId="1" fillId="0" borderId="50" xfId="0" applyNumberFormat="1" applyFont="1" applyBorder="1" applyAlignment="1">
      <alignment wrapText="1"/>
    </xf>
    <xf numFmtId="0" fontId="0" fillId="0" borderId="0" xfId="0"/>
    <xf numFmtId="0" fontId="0" fillId="0" borderId="0" xfId="0" applyBorder="1"/>
    <xf numFmtId="0" fontId="66" fillId="0" borderId="0" xfId="0" applyNumberFormat="1" applyFont="1" applyFill="1" applyBorder="1" applyAlignment="1">
      <alignment horizontal="right"/>
    </xf>
    <xf numFmtId="0" fontId="1" fillId="0" borderId="0" xfId="0" applyFont="1"/>
    <xf numFmtId="0" fontId="50" fillId="0" borderId="0" xfId="0" applyNumberFormat="1" applyFont="1" applyFill="1" applyBorder="1" applyAlignment="1">
      <alignment horizontal="right"/>
    </xf>
    <xf numFmtId="0" fontId="2" fillId="4" borderId="21" xfId="0" applyFont="1" applyFill="1" applyBorder="1" applyAlignment="1">
      <alignment horizontal="left"/>
    </xf>
    <xf numFmtId="0" fontId="2" fillId="4" borderId="53" xfId="0" applyFont="1" applyFill="1" applyBorder="1" applyAlignment="1">
      <alignment horizontal="center"/>
    </xf>
    <xf numFmtId="0" fontId="2" fillId="4" borderId="22" xfId="0" applyFont="1" applyFill="1" applyBorder="1" applyAlignment="1">
      <alignment horizontal="center"/>
    </xf>
    <xf numFmtId="0" fontId="2" fillId="4" borderId="43" xfId="0" applyFont="1" applyFill="1" applyBorder="1" applyAlignment="1">
      <alignment horizontal="center"/>
    </xf>
    <xf numFmtId="0" fontId="2" fillId="4" borderId="23" xfId="0" applyFont="1" applyFill="1" applyBorder="1" applyAlignment="1">
      <alignment horizontal="center"/>
    </xf>
    <xf numFmtId="0" fontId="0" fillId="2" borderId="16" xfId="0" applyFont="1" applyFill="1" applyBorder="1"/>
    <xf numFmtId="2" fontId="2" fillId="0" borderId="60" xfId="0" applyNumberFormat="1" applyFont="1" applyFill="1" applyBorder="1" applyAlignment="1">
      <alignment horizontal="center"/>
    </xf>
    <xf numFmtId="0" fontId="0" fillId="2" borderId="18" xfId="0" applyFont="1" applyFill="1" applyBorder="1"/>
    <xf numFmtId="2" fontId="2" fillId="0" borderId="57" xfId="0" applyNumberFormat="1" applyFont="1" applyFill="1" applyBorder="1" applyAlignment="1">
      <alignment horizontal="center"/>
    </xf>
    <xf numFmtId="2" fontId="2" fillId="0" borderId="69" xfId="0" applyNumberFormat="1" applyFont="1" applyFill="1" applyBorder="1" applyAlignment="1">
      <alignment horizontal="center"/>
    </xf>
    <xf numFmtId="0" fontId="3" fillId="4" borderId="3" xfId="0" applyFont="1" applyFill="1" applyBorder="1" applyAlignment="1">
      <alignment horizontal="left"/>
    </xf>
    <xf numFmtId="0" fontId="3" fillId="4" borderId="3" xfId="0" applyFont="1" applyFill="1" applyBorder="1" applyAlignment="1">
      <alignment horizontal="center"/>
    </xf>
    <xf numFmtId="0" fontId="3" fillId="4" borderId="45" xfId="0" applyFont="1" applyFill="1" applyBorder="1" applyAlignment="1">
      <alignment horizontal="left"/>
    </xf>
    <xf numFmtId="0" fontId="1" fillId="2" borderId="46" xfId="0" applyFont="1" applyFill="1" applyBorder="1"/>
    <xf numFmtId="0" fontId="1" fillId="2" borderId="47" xfId="0" applyFont="1" applyFill="1" applyBorder="1"/>
    <xf numFmtId="0" fontId="66" fillId="0" borderId="17" xfId="0" applyNumberFormat="1" applyFont="1" applyFill="1" applyBorder="1" applyAlignment="1">
      <alignment horizontal="right"/>
    </xf>
    <xf numFmtId="0" fontId="50" fillId="0" borderId="19" xfId="0" applyNumberFormat="1" applyFont="1" applyFill="1" applyBorder="1" applyAlignment="1">
      <alignment horizontal="right"/>
    </xf>
    <xf numFmtId="0" fontId="50" fillId="0" borderId="20" xfId="0" applyNumberFormat="1" applyFont="1" applyFill="1" applyBorder="1" applyAlignment="1">
      <alignment horizontal="right"/>
    </xf>
    <xf numFmtId="0" fontId="1" fillId="2" borderId="45" xfId="0" applyFont="1" applyFill="1" applyBorder="1"/>
    <xf numFmtId="0" fontId="50" fillId="0" borderId="17" xfId="0" applyNumberFormat="1" applyFont="1" applyFill="1" applyBorder="1" applyAlignment="1">
      <alignment horizontal="right"/>
    </xf>
    <xf numFmtId="0" fontId="7" fillId="2" borderId="0" xfId="3" applyFill="1" applyBorder="1" applyAlignment="1">
      <alignment horizontal="left"/>
    </xf>
    <xf numFmtId="164" fontId="0" fillId="4" borderId="14" xfId="0" applyNumberFormat="1" applyFill="1" applyBorder="1" applyAlignment="1">
      <alignment horizontal="center"/>
    </xf>
    <xf numFmtId="170" fontId="0" fillId="4" borderId="15" xfId="0" applyNumberFormat="1" applyFill="1" applyBorder="1" applyAlignment="1">
      <alignment horizontal="center" vertical="center"/>
    </xf>
    <xf numFmtId="164" fontId="0" fillId="4" borderId="0" xfId="0" applyNumberFormat="1" applyFill="1"/>
    <xf numFmtId="0" fontId="0" fillId="4" borderId="49" xfId="0" applyFill="1" applyBorder="1"/>
    <xf numFmtId="0" fontId="1" fillId="45" borderId="18" xfId="0" applyFont="1" applyFill="1" applyBorder="1"/>
    <xf numFmtId="164" fontId="7" fillId="45" borderId="0" xfId="3" applyNumberFormat="1" applyFill="1"/>
    <xf numFmtId="0" fontId="0" fillId="4" borderId="45" xfId="0" applyFill="1" applyBorder="1"/>
    <xf numFmtId="164" fontId="1" fillId="4" borderId="46" xfId="0" applyNumberFormat="1" applyFont="1" applyFill="1" applyBorder="1" applyAlignment="1">
      <alignment horizontal="center"/>
    </xf>
    <xf numFmtId="164" fontId="0" fillId="45" borderId="0" xfId="0" applyNumberFormat="1" applyFill="1"/>
    <xf numFmtId="0" fontId="0" fillId="45" borderId="0" xfId="0" applyFill="1"/>
    <xf numFmtId="171" fontId="0" fillId="4" borderId="15" xfId="0" applyNumberFormat="1" applyFill="1" applyBorder="1" applyAlignment="1">
      <alignment horizontal="center"/>
    </xf>
    <xf numFmtId="171" fontId="0" fillId="4" borderId="58" xfId="0" applyNumberFormat="1" applyFill="1" applyBorder="1" applyAlignment="1">
      <alignment horizontal="center"/>
    </xf>
    <xf numFmtId="10" fontId="0" fillId="4" borderId="0" xfId="0" applyNumberFormat="1" applyFill="1"/>
    <xf numFmtId="0" fontId="0" fillId="5" borderId="3" xfId="0" applyFill="1" applyBorder="1"/>
    <xf numFmtId="164" fontId="0" fillId="4" borderId="56" xfId="0" applyNumberFormat="1" applyFill="1" applyBorder="1" applyAlignment="1">
      <alignment horizontal="center"/>
    </xf>
    <xf numFmtId="170" fontId="0" fillId="4" borderId="15" xfId="0" applyNumberFormat="1" applyFill="1" applyBorder="1" applyAlignment="1">
      <alignment horizontal="center"/>
    </xf>
    <xf numFmtId="0" fontId="1" fillId="45" borderId="20" xfId="0" applyFont="1" applyFill="1" applyBorder="1"/>
    <xf numFmtId="0" fontId="50" fillId="5" borderId="3" xfId="0" applyNumberFormat="1" applyFont="1" applyFill="1" applyBorder="1" applyAlignment="1">
      <alignment horizontal="right"/>
    </xf>
    <xf numFmtId="164" fontId="7" fillId="5" borderId="0" xfId="3" applyNumberFormat="1" applyFill="1"/>
    <xf numFmtId="0" fontId="50" fillId="45" borderId="0" xfId="0" applyNumberFormat="1" applyFont="1" applyFill="1" applyBorder="1" applyAlignment="1">
      <alignment horizontal="right"/>
    </xf>
    <xf numFmtId="164" fontId="1" fillId="45" borderId="48" xfId="0" applyNumberFormat="1" applyFont="1" applyFill="1" applyBorder="1" applyAlignment="1">
      <alignment horizontal="center"/>
    </xf>
    <xf numFmtId="170" fontId="0" fillId="4" borderId="58" xfId="0" applyNumberFormat="1" applyFill="1" applyBorder="1" applyAlignment="1">
      <alignment horizontal="center" vertical="center"/>
    </xf>
    <xf numFmtId="170" fontId="0" fillId="4" borderId="58" xfId="0" applyNumberFormat="1" applyFill="1" applyBorder="1" applyAlignment="1">
      <alignment horizontal="center"/>
    </xf>
    <xf numFmtId="0" fontId="0" fillId="5" borderId="0" xfId="0" applyFill="1"/>
    <xf numFmtId="0" fontId="0" fillId="2" borderId="0" xfId="0" applyFont="1" applyFill="1"/>
    <xf numFmtId="0" fontId="0" fillId="2" borderId="0" xfId="0" applyFont="1" applyFill="1"/>
    <xf numFmtId="0" fontId="0" fillId="0" borderId="0" xfId="0"/>
    <xf numFmtId="0" fontId="0" fillId="2" borderId="0" xfId="0" applyFont="1" applyFill="1"/>
    <xf numFmtId="0" fontId="0" fillId="2" borderId="0" xfId="0" applyFont="1" applyFill="1"/>
    <xf numFmtId="0" fontId="0" fillId="2" borderId="0" xfId="0" applyFont="1" applyFill="1"/>
    <xf numFmtId="0" fontId="0" fillId="0" borderId="0" xfId="0"/>
    <xf numFmtId="0" fontId="0" fillId="2" borderId="0" xfId="0" applyFont="1" applyFill="1"/>
    <xf numFmtId="170" fontId="0" fillId="5" borderId="0" xfId="0" applyNumberFormat="1" applyFill="1"/>
    <xf numFmtId="0" fontId="0" fillId="5" borderId="0" xfId="0" applyFill="1" applyBorder="1"/>
    <xf numFmtId="164" fontId="0" fillId="5" borderId="0" xfId="0" applyNumberFormat="1" applyFill="1"/>
    <xf numFmtId="164" fontId="0" fillId="2" borderId="55" xfId="4" applyNumberFormat="1" applyFont="1" applyFill="1" applyBorder="1"/>
    <xf numFmtId="164" fontId="0" fillId="2" borderId="85" xfId="4" applyNumberFormat="1" applyFont="1" applyFill="1" applyBorder="1"/>
    <xf numFmtId="9" fontId="0" fillId="2" borderId="55" xfId="4" applyFont="1" applyFill="1" applyBorder="1"/>
    <xf numFmtId="164" fontId="0" fillId="2" borderId="48" xfId="4" applyNumberFormat="1" applyFont="1" applyFill="1" applyBorder="1"/>
    <xf numFmtId="0" fontId="3" fillId="4" borderId="23" xfId="0" applyFont="1" applyFill="1" applyBorder="1" applyAlignment="1">
      <alignment horizontal="center" wrapText="1"/>
    </xf>
    <xf numFmtId="0" fontId="0" fillId="2" borderId="24" xfId="0" applyFill="1" applyBorder="1"/>
    <xf numFmtId="2" fontId="2" fillId="0" borderId="54" xfId="0" applyNumberFormat="1" applyFont="1" applyFill="1" applyBorder="1" applyAlignment="1">
      <alignment horizontal="center"/>
    </xf>
    <xf numFmtId="2" fontId="1" fillId="45" borderId="18" xfId="0" applyNumberFormat="1" applyFont="1" applyFill="1" applyBorder="1"/>
    <xf numFmtId="164" fontId="1" fillId="45" borderId="18" xfId="4" applyNumberFormat="1" applyFont="1" applyFill="1" applyBorder="1"/>
    <xf numFmtId="164" fontId="1" fillId="2" borderId="49" xfId="0" applyNumberFormat="1" applyFont="1" applyFill="1" applyBorder="1" applyAlignment="1">
      <alignment horizontal="center"/>
    </xf>
    <xf numFmtId="164" fontId="1" fillId="2" borderId="57" xfId="0" applyNumberFormat="1" applyFont="1" applyFill="1" applyBorder="1" applyAlignment="1">
      <alignment horizontal="center"/>
    </xf>
    <xf numFmtId="164" fontId="1" fillId="2" borderId="44" xfId="0" applyNumberFormat="1" applyFont="1" applyFill="1" applyBorder="1" applyAlignment="1">
      <alignment horizontal="center"/>
    </xf>
    <xf numFmtId="171" fontId="1" fillId="2" borderId="59" xfId="0" applyNumberFormat="1" applyFont="1" applyFill="1" applyBorder="1" applyAlignment="1">
      <alignment horizontal="center"/>
    </xf>
    <xf numFmtId="164" fontId="1" fillId="2" borderId="48" xfId="0" applyNumberFormat="1" applyFont="1" applyFill="1" applyBorder="1" applyAlignment="1">
      <alignment horizontal="center"/>
    </xf>
    <xf numFmtId="170" fontId="1" fillId="2" borderId="87" xfId="0" applyNumberFormat="1" applyFont="1" applyFill="1" applyBorder="1" applyAlignment="1">
      <alignment horizontal="center"/>
    </xf>
    <xf numFmtId="170" fontId="1" fillId="2" borderId="7" xfId="0" applyNumberFormat="1" applyFont="1" applyFill="1" applyBorder="1" applyAlignment="1">
      <alignment horizontal="center" vertical="center"/>
    </xf>
    <xf numFmtId="171" fontId="1" fillId="2" borderId="58" xfId="0" applyNumberFormat="1" applyFont="1" applyFill="1" applyBorder="1" applyAlignment="1">
      <alignment horizontal="center"/>
    </xf>
    <xf numFmtId="164" fontId="1" fillId="2" borderId="14" xfId="0" applyNumberFormat="1" applyFont="1" applyFill="1" applyBorder="1" applyAlignment="1">
      <alignment horizontal="center"/>
    </xf>
    <xf numFmtId="170" fontId="1" fillId="2" borderId="86" xfId="0" applyNumberFormat="1" applyFont="1" applyFill="1" applyBorder="1" applyAlignment="1">
      <alignment horizontal="center"/>
    </xf>
    <xf numFmtId="170" fontId="1" fillId="2" borderId="15" xfId="0" applyNumberFormat="1" applyFont="1" applyFill="1" applyBorder="1" applyAlignment="1">
      <alignment horizontal="center" vertical="center"/>
    </xf>
    <xf numFmtId="171" fontId="1" fillId="2" borderId="15" xfId="0" applyNumberFormat="1" applyFont="1" applyFill="1" applyBorder="1" applyAlignment="1">
      <alignment horizontal="center"/>
    </xf>
    <xf numFmtId="164" fontId="1" fillId="2" borderId="56" xfId="0" applyNumberFormat="1" applyFont="1" applyFill="1" applyBorder="1" applyAlignment="1">
      <alignment horizontal="center"/>
    </xf>
    <xf numFmtId="170" fontId="1" fillId="2" borderId="15" xfId="0" applyNumberFormat="1" applyFont="1" applyFill="1" applyBorder="1" applyAlignment="1">
      <alignment horizontal="center"/>
    </xf>
    <xf numFmtId="170" fontId="1" fillId="2" borderId="58" xfId="0" applyNumberFormat="1" applyFont="1" applyFill="1" applyBorder="1" applyAlignment="1">
      <alignment horizontal="center" vertical="center"/>
    </xf>
    <xf numFmtId="164" fontId="1" fillId="2" borderId="84" xfId="0" applyNumberFormat="1" applyFont="1" applyFill="1" applyBorder="1" applyAlignment="1">
      <alignment horizontal="center"/>
    </xf>
    <xf numFmtId="171" fontId="1" fillId="2" borderId="36" xfId="0" applyNumberFormat="1" applyFont="1" applyFill="1" applyBorder="1" applyAlignment="1">
      <alignment horizontal="center"/>
    </xf>
    <xf numFmtId="164" fontId="1" fillId="2" borderId="68" xfId="0" applyNumberFormat="1" applyFont="1" applyFill="1" applyBorder="1" applyAlignment="1">
      <alignment horizontal="center"/>
    </xf>
    <xf numFmtId="164" fontId="1" fillId="2" borderId="85" xfId="0" applyNumberFormat="1" applyFont="1" applyFill="1" applyBorder="1" applyAlignment="1">
      <alignment horizontal="center"/>
    </xf>
    <xf numFmtId="0" fontId="1" fillId="4" borderId="38" xfId="0" applyFont="1" applyFill="1" applyBorder="1" applyAlignment="1">
      <alignment horizontal="center" vertical="center" wrapText="1"/>
    </xf>
    <xf numFmtId="179" fontId="0" fillId="4" borderId="0" xfId="0" applyNumberFormat="1" applyFill="1"/>
    <xf numFmtId="166" fontId="0" fillId="4" borderId="0" xfId="0" applyNumberFormat="1" applyFill="1"/>
    <xf numFmtId="10" fontId="0" fillId="4" borderId="0" xfId="4" applyNumberFormat="1" applyFont="1" applyFill="1"/>
    <xf numFmtId="0" fontId="0" fillId="0" borderId="49" xfId="0" applyBorder="1" applyAlignment="1">
      <alignment horizontal="center"/>
    </xf>
    <xf numFmtId="0" fontId="1" fillId="45" borderId="20" xfId="0" applyFont="1" applyFill="1" applyBorder="1" applyAlignment="1">
      <alignment horizontal="center"/>
    </xf>
    <xf numFmtId="164" fontId="1" fillId="4" borderId="31" xfId="0" applyNumberFormat="1" applyFont="1" applyFill="1" applyBorder="1" applyAlignment="1">
      <alignment horizontal="center"/>
    </xf>
    <xf numFmtId="0" fontId="0" fillId="4" borderId="44" xfId="0" applyFill="1" applyBorder="1" applyAlignment="1">
      <alignment horizontal="center"/>
    </xf>
    <xf numFmtId="164" fontId="1" fillId="45" borderId="44" xfId="0" applyNumberFormat="1" applyFont="1" applyFill="1" applyBorder="1" applyAlignment="1">
      <alignment horizontal="center"/>
    </xf>
    <xf numFmtId="0" fontId="0" fillId="0" borderId="0" xfId="0" applyFont="1" applyAlignment="1">
      <alignment horizontal="left" wrapText="1"/>
    </xf>
    <xf numFmtId="10" fontId="1" fillId="9" borderId="68" xfId="0" applyNumberFormat="1" applyFont="1" applyFill="1" applyBorder="1" applyAlignment="1">
      <alignment horizontal="center"/>
    </xf>
    <xf numFmtId="10" fontId="1" fillId="46" borderId="85" xfId="0" applyNumberFormat="1" applyFont="1" applyFill="1" applyBorder="1" applyAlignment="1">
      <alignment horizontal="center"/>
    </xf>
    <xf numFmtId="10" fontId="64" fillId="47" borderId="18" xfId="4" applyNumberFormat="1" applyFont="1" applyFill="1" applyBorder="1"/>
    <xf numFmtId="10" fontId="1" fillId="48" borderId="18" xfId="4" applyNumberFormat="1" applyFont="1" applyFill="1" applyBorder="1"/>
    <xf numFmtId="0" fontId="67" fillId="0" borderId="0" xfId="0" applyFont="1" applyAlignment="1"/>
    <xf numFmtId="0" fontId="3" fillId="5" borderId="27" xfId="0" applyFont="1" applyFill="1" applyBorder="1" applyAlignment="1">
      <alignment horizontal="left"/>
    </xf>
    <xf numFmtId="2" fontId="3" fillId="5" borderId="54" xfId="0" applyNumberFormat="1" applyFont="1" applyFill="1" applyBorder="1" applyAlignment="1">
      <alignment horizontal="center"/>
    </xf>
    <xf numFmtId="0" fontId="0" fillId="0" borderId="0" xfId="0" applyFill="1" applyBorder="1" applyAlignment="1">
      <alignment horizontal="left" wrapText="1"/>
    </xf>
    <xf numFmtId="0" fontId="0" fillId="0" borderId="0" xfId="0" applyAlignment="1">
      <alignment horizontal="left" wrapText="1"/>
    </xf>
    <xf numFmtId="164" fontId="0" fillId="0" borderId="55" xfId="4" applyNumberFormat="1" applyFont="1" applyBorder="1"/>
    <xf numFmtId="0" fontId="1" fillId="4" borderId="44" xfId="0" applyFont="1" applyFill="1" applyBorder="1" applyAlignment="1">
      <alignment horizontal="center"/>
    </xf>
    <xf numFmtId="169" fontId="1" fillId="0" borderId="55" xfId="0" applyNumberFormat="1" applyFont="1" applyBorder="1" applyAlignment="1">
      <alignment wrapText="1"/>
    </xf>
    <xf numFmtId="0" fontId="0" fillId="3" borderId="16" xfId="0" applyFill="1" applyBorder="1"/>
    <xf numFmtId="169" fontId="1" fillId="3" borderId="55" xfId="0" applyNumberFormat="1" applyFont="1" applyFill="1" applyBorder="1"/>
    <xf numFmtId="164" fontId="0" fillId="3" borderId="55" xfId="0" applyNumberFormat="1" applyFill="1" applyBorder="1"/>
    <xf numFmtId="0" fontId="0" fillId="5" borderId="31" xfId="0" applyFill="1" applyBorder="1"/>
    <xf numFmtId="169" fontId="1" fillId="5" borderId="44" xfId="0" applyNumberFormat="1" applyFont="1" applyFill="1" applyBorder="1" applyAlignment="1">
      <alignment wrapText="1"/>
    </xf>
    <xf numFmtId="164" fontId="0" fillId="5" borderId="44" xfId="0" applyNumberFormat="1" applyFill="1" applyBorder="1"/>
    <xf numFmtId="0" fontId="27" fillId="0" borderId="2" xfId="0" applyFont="1" applyBorder="1" applyAlignment="1"/>
    <xf numFmtId="0" fontId="13" fillId="0" borderId="2" xfId="0" applyFont="1" applyBorder="1"/>
    <xf numFmtId="0" fontId="48" fillId="0" borderId="2" xfId="0" applyFont="1" applyBorder="1"/>
    <xf numFmtId="0" fontId="0" fillId="0" borderId="0" xfId="0" applyAlignment="1">
      <alignment horizontal="center"/>
    </xf>
    <xf numFmtId="0" fontId="1" fillId="0" borderId="0" xfId="0" applyFont="1" applyAlignment="1">
      <alignment horizontal="left" vertical="top" wrapText="1"/>
    </xf>
    <xf numFmtId="0" fontId="1" fillId="0" borderId="0" xfId="0" applyFont="1" applyAlignment="1">
      <alignment horizontal="left" wrapText="1"/>
    </xf>
    <xf numFmtId="0" fontId="14" fillId="0" borderId="2" xfId="0" applyFont="1" applyBorder="1" applyAlignment="1">
      <alignment horizontal="left" wrapText="1"/>
    </xf>
    <xf numFmtId="0" fontId="37" fillId="0" borderId="0" xfId="0" applyFont="1" applyAlignment="1">
      <alignment horizontal="left" wrapText="1"/>
    </xf>
    <xf numFmtId="0" fontId="28" fillId="0" borderId="0" xfId="0" applyFont="1" applyAlignment="1">
      <alignment horizontal="left" wrapText="1"/>
    </xf>
    <xf numFmtId="0" fontId="0" fillId="0" borderId="0" xfId="0" applyFont="1" applyBorder="1" applyAlignment="1">
      <alignment horizontal="left" wrapText="1"/>
    </xf>
    <xf numFmtId="0" fontId="14" fillId="0" borderId="1" xfId="0" applyFont="1" applyBorder="1" applyAlignment="1">
      <alignment horizontal="left" wrapText="1"/>
    </xf>
    <xf numFmtId="0" fontId="0" fillId="0" borderId="0" xfId="0" applyFill="1" applyBorder="1" applyAlignment="1">
      <alignment horizontal="left" wrapText="1"/>
    </xf>
    <xf numFmtId="0" fontId="1" fillId="0" borderId="2" xfId="0" applyFont="1" applyBorder="1" applyAlignment="1">
      <alignment horizontal="left" wrapText="1"/>
    </xf>
    <xf numFmtId="0" fontId="7" fillId="0" borderId="0" xfId="3" applyAlignment="1">
      <alignment horizontal="left" wrapText="1"/>
    </xf>
    <xf numFmtId="164" fontId="0" fillId="0" borderId="0" xfId="0" applyNumberFormat="1" applyFont="1" applyBorder="1" applyAlignment="1">
      <alignment horizontal="left" wrapText="1"/>
    </xf>
    <xf numFmtId="0" fontId="38" fillId="0" borderId="0" xfId="0" applyFont="1" applyBorder="1" applyAlignment="1">
      <alignment horizontal="left" wrapText="1"/>
    </xf>
    <xf numFmtId="0" fontId="0" fillId="0" borderId="19" xfId="0" applyFill="1" applyBorder="1" applyAlignment="1">
      <alignment horizontal="left" wrapText="1"/>
    </xf>
    <xf numFmtId="0" fontId="20" fillId="0" borderId="0" xfId="0" applyFont="1" applyAlignment="1">
      <alignment horizontal="left" vertical="top" wrapText="1"/>
    </xf>
    <xf numFmtId="164" fontId="1" fillId="0" borderId="0" xfId="0" applyNumberFormat="1" applyFont="1" applyBorder="1" applyAlignment="1">
      <alignment horizontal="left" wrapText="1"/>
    </xf>
    <xf numFmtId="168" fontId="0" fillId="0" borderId="0" xfId="0" applyNumberFormat="1" applyFont="1" applyBorder="1" applyAlignment="1">
      <alignment horizontal="left" wrapText="1"/>
    </xf>
    <xf numFmtId="0" fontId="0" fillId="0" borderId="0" xfId="0" applyFont="1" applyAlignment="1">
      <alignment horizontal="left" wrapText="1"/>
    </xf>
    <xf numFmtId="0" fontId="28" fillId="0" borderId="0" xfId="0" applyFont="1" applyAlignment="1">
      <alignment wrapText="1"/>
    </xf>
    <xf numFmtId="164" fontId="0" fillId="2" borderId="63" xfId="4" applyNumberFormat="1" applyFont="1" applyFill="1" applyBorder="1" applyAlignment="1">
      <alignment horizontal="center" vertical="center"/>
    </xf>
    <xf numFmtId="164" fontId="0" fillId="2" borderId="60" xfId="4" applyNumberFormat="1" applyFont="1" applyFill="1" applyBorder="1" applyAlignment="1">
      <alignment horizontal="center" vertical="center"/>
    </xf>
    <xf numFmtId="164" fontId="0" fillId="2" borderId="83" xfId="4" applyNumberFormat="1" applyFont="1" applyFill="1" applyBorder="1" applyAlignment="1">
      <alignment horizontal="center" vertical="center"/>
    </xf>
    <xf numFmtId="0" fontId="0" fillId="0" borderId="1" xfId="0" applyFont="1" applyBorder="1" applyAlignment="1">
      <alignment horizontal="left" wrapText="1"/>
    </xf>
    <xf numFmtId="0" fontId="0" fillId="2" borderId="2" xfId="0" applyFill="1" applyBorder="1" applyAlignment="1">
      <alignment horizontal="left" wrapText="1"/>
    </xf>
    <xf numFmtId="0" fontId="42" fillId="0" borderId="1" xfId="0" applyFont="1" applyBorder="1" applyAlignment="1">
      <alignment horizontal="left" wrapText="1"/>
    </xf>
    <xf numFmtId="0" fontId="0" fillId="2" borderId="19" xfId="0" applyFill="1" applyBorder="1" applyAlignment="1">
      <alignment horizontal="left"/>
    </xf>
    <xf numFmtId="0" fontId="0" fillId="0" borderId="2" xfId="0" applyFill="1" applyBorder="1" applyAlignment="1">
      <alignment horizontal="left" wrapText="1"/>
    </xf>
    <xf numFmtId="0" fontId="14" fillId="0" borderId="0" xfId="0" applyFont="1" applyAlignment="1">
      <alignment horizontal="left" wrapText="1"/>
    </xf>
    <xf numFmtId="0" fontId="3" fillId="0" borderId="0" xfId="0" applyFont="1" applyFill="1" applyBorder="1" applyAlignment="1">
      <alignment horizontal="left" wrapText="1"/>
    </xf>
    <xf numFmtId="0" fontId="0" fillId="0" borderId="0" xfId="0" applyAlignment="1">
      <alignment horizontal="left" wrapText="1"/>
    </xf>
    <xf numFmtId="0" fontId="29" fillId="0" borderId="0" xfId="3" applyFont="1" applyAlignment="1">
      <alignment horizontal="left" wrapText="1"/>
    </xf>
    <xf numFmtId="0" fontId="2" fillId="0" borderId="0" xfId="7" applyAlignment="1">
      <alignment horizontal="left"/>
    </xf>
  </cellXfs>
  <cellStyles count="67">
    <cellStyle name="20% - Accent1" xfId="40" builtinId="30" customBuiltin="1"/>
    <cellStyle name="20% - Accent2" xfId="44" builtinId="34" customBuiltin="1"/>
    <cellStyle name="20% - Accent3" xfId="48" builtinId="38" customBuiltin="1"/>
    <cellStyle name="20% - Accent4" xfId="52" builtinId="42" customBuiltin="1"/>
    <cellStyle name="20% - Accent5" xfId="56" builtinId="46" customBuiltin="1"/>
    <cellStyle name="20% - Accent6" xfId="60" builtinId="50" customBuiltin="1"/>
    <cellStyle name="40% - Accent1" xfId="41" builtinId="31" customBuiltin="1"/>
    <cellStyle name="40% - Accent2" xfId="45" builtinId="35" customBuiltin="1"/>
    <cellStyle name="40% - Accent3" xfId="49" builtinId="39" customBuiltin="1"/>
    <cellStyle name="40% - Accent4" xfId="53" builtinId="43" customBuiltin="1"/>
    <cellStyle name="40% - Accent5" xfId="57" builtinId="47" customBuiltin="1"/>
    <cellStyle name="40% - Accent6" xfId="61" builtinId="51" customBuiltin="1"/>
    <cellStyle name="60% - Accent1" xfId="42" builtinId="32" customBuiltin="1"/>
    <cellStyle name="60% - Accent2" xfId="46" builtinId="36" customBuiltin="1"/>
    <cellStyle name="60% - Accent3" xfId="50" builtinId="40" customBuiltin="1"/>
    <cellStyle name="60% - Accent4" xfId="54" builtinId="44" customBuiltin="1"/>
    <cellStyle name="60% - Accent5" xfId="58" builtinId="48" customBuiltin="1"/>
    <cellStyle name="60% - Accent6" xfId="62" builtinId="52" customBuiltin="1"/>
    <cellStyle name="Accent1" xfId="39" builtinId="29" customBuiltin="1"/>
    <cellStyle name="Accent2" xfId="43" builtinId="33" customBuiltin="1"/>
    <cellStyle name="Accent3" xfId="47" builtinId="37" customBuiltin="1"/>
    <cellStyle name="Accent4" xfId="51" builtinId="41" customBuiltin="1"/>
    <cellStyle name="Accent5" xfId="55" builtinId="45" customBuiltin="1"/>
    <cellStyle name="Accent6" xfId="59" builtinId="49" customBuiltin="1"/>
    <cellStyle name="Bad" xfId="28" builtinId="27" customBuiltin="1"/>
    <cellStyle name="Calculation" xfId="32" builtinId="22" customBuiltin="1"/>
    <cellStyle name="Check Cell" xfId="34" builtinId="23" customBuiltin="1"/>
    <cellStyle name="Comma" xfId="8" builtinId="3"/>
    <cellStyle name="Comma [0]" xfId="9" builtinId="6"/>
    <cellStyle name="Comma [0] 2" xfId="14" xr:uid="{00000000-0005-0000-0000-000037000000}"/>
    <cellStyle name="Comma 10" xfId="66" xr:uid="{07989503-B485-4C51-BF19-1E70CA1DBCB8}"/>
    <cellStyle name="Comma 2" xfId="6" xr:uid="{00000000-0005-0000-0000-000033000000}"/>
    <cellStyle name="Comma 2 2" xfId="12" xr:uid="{00000000-0005-0000-0000-000033000000}"/>
    <cellStyle name="Comma 2 3" xfId="64" xr:uid="{42313821-C29D-440C-BABA-51D5F6030D6B}"/>
    <cellStyle name="Comma 3" xfId="13" xr:uid="{00000000-0005-0000-0000-000036000000}"/>
    <cellStyle name="Comma 4" xfId="16" xr:uid="{00000000-0005-0000-0000-00003B000000}"/>
    <cellStyle name="Comma 5" xfId="18" xr:uid="{00000000-0005-0000-0000-00003D000000}"/>
    <cellStyle name="Comma 6" xfId="19" xr:uid="{00000000-0005-0000-0000-00003E000000}"/>
    <cellStyle name="Comma 7" xfId="20" xr:uid="{00000000-0005-0000-0000-00003F000000}"/>
    <cellStyle name="Comma 8" xfId="63" xr:uid="{D5728A6A-FCE0-4998-BDF8-7A5C9A57D1E4}"/>
    <cellStyle name="Comma 9" xfId="65" xr:uid="{5E03F0AA-F7C5-4714-8C09-33405D0BA821}"/>
    <cellStyle name="Currency" xfId="5" builtinId="4"/>
    <cellStyle name="Currency 2" xfId="11" xr:uid="{00000000-0005-0000-0000-000039000000}"/>
    <cellStyle name="Explanatory Text" xfId="37" builtinId="53" customBuiltin="1"/>
    <cellStyle name="Good" xfId="27" builtinId="26" customBuiltin="1"/>
    <cellStyle name="Heading 1" xfId="23" builtinId="16" customBuiltin="1"/>
    <cellStyle name="Heading 2" xfId="24" builtinId="17" customBuiltin="1"/>
    <cellStyle name="Heading 3" xfId="25" builtinId="18" customBuiltin="1"/>
    <cellStyle name="Heading 4" xfId="26" builtinId="19" customBuiltin="1"/>
    <cellStyle name="Hyperlink" xfId="3" builtinId="8"/>
    <cellStyle name="Hyperlink 2" xfId="17" xr:uid="{00000000-0005-0000-0000-00003C000000}"/>
    <cellStyle name="Input" xfId="30" builtinId="20" customBuiltin="1"/>
    <cellStyle name="Linked Cell" xfId="33" builtinId="24" customBuiltin="1"/>
    <cellStyle name="Neutral" xfId="29" builtinId="28" customBuiltin="1"/>
    <cellStyle name="Normal" xfId="0" builtinId="0"/>
    <cellStyle name="Normal 2" xfId="7" xr:uid="{00000000-0005-0000-0000-000034000000}"/>
    <cellStyle name="Normal 2 2" xfId="2" xr:uid="{00000000-0005-0000-0000-000002000000}"/>
    <cellStyle name="Normal 3" xfId="10" xr:uid="{00000000-0005-0000-0000-000035000000}"/>
    <cellStyle name="Normal 3 2" xfId="15" xr:uid="{00000000-0005-0000-0000-000035000000}"/>
    <cellStyle name="Normal 4" xfId="1" xr:uid="{00000000-0005-0000-0000-000003000000}"/>
    <cellStyle name="Normal 5" xfId="21" xr:uid="{87780EFC-5AA7-4675-81F1-12A1E6C8171F}"/>
    <cellStyle name="Note" xfId="36" builtinId="10" customBuiltin="1"/>
    <cellStyle name="Output" xfId="31" builtinId="21" customBuiltin="1"/>
    <cellStyle name="Percent" xfId="4" builtinId="5"/>
    <cellStyle name="Title" xfId="22" builtinId="15" customBuiltin="1"/>
    <cellStyle name="Total" xfId="38" builtinId="25" customBuiltin="1"/>
    <cellStyle name="Warning Text" xfId="35" builtinId="11" customBuiltin="1"/>
  </cellStyles>
  <dxfs count="0"/>
  <tableStyles count="0" defaultTableStyle="TableStyleMedium2" defaultPivotStyle="PivotStyleLight16"/>
  <colors>
    <mruColors>
      <color rgb="FF062B03"/>
      <color rgb="FFFD6B6B"/>
      <color rgb="FF990000"/>
      <color rgb="FFFF6600"/>
      <color rgb="FF800000"/>
      <color rgb="FFD239EB"/>
      <color rgb="FF000000"/>
      <color rgb="FF78082B"/>
      <color rgb="FFAA769B"/>
      <color rgb="FFD06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4.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5.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6.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7.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8.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9.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1.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2.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3.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4.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5.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6.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7.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8.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9.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1.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2.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3.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4.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5.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6.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7.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8.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78.xml"/><Relationship Id="rId1" Type="http://schemas.microsoft.com/office/2011/relationships/chartStyle" Target="style78.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AU" b="1">
                <a:solidFill>
                  <a:schemeClr val="tx1">
                    <a:lumMod val="85000"/>
                    <a:lumOff val="15000"/>
                  </a:schemeClr>
                </a:solidFill>
              </a:rPr>
              <a:t>UK exports</a:t>
            </a:r>
            <a:r>
              <a:rPr lang="en-AU" b="1" baseline="0">
                <a:solidFill>
                  <a:schemeClr val="tx1">
                    <a:lumMod val="85000"/>
                    <a:lumOff val="15000"/>
                  </a:schemeClr>
                </a:solidFill>
              </a:rPr>
              <a:t> to EU &amp; non-EU countries</a:t>
            </a:r>
            <a:r>
              <a:rPr lang="en-AU" b="1">
                <a:solidFill>
                  <a:schemeClr val="tx1">
                    <a:lumMod val="85000"/>
                    <a:lumOff val="15000"/>
                  </a:schemeClr>
                </a:solidFill>
              </a:rPr>
              <a:t>:</a:t>
            </a:r>
            <a:r>
              <a:rPr lang="en-AU" b="1" baseline="0">
                <a:solidFill>
                  <a:schemeClr val="tx1">
                    <a:lumMod val="85000"/>
                    <a:lumOff val="15000"/>
                  </a:schemeClr>
                </a:solidFill>
              </a:rPr>
              <a:t> 2018</a:t>
            </a:r>
            <a:endParaRPr lang="en-AU" b="1">
              <a:solidFill>
                <a:schemeClr val="tx1">
                  <a:lumMod val="85000"/>
                  <a:lumOff val="15000"/>
                </a:schemeClr>
              </a:solidFill>
            </a:endParaRPr>
          </a:p>
        </c:rich>
      </c:tx>
      <c:layout>
        <c:manualLayout>
          <c:xMode val="edge"/>
          <c:yMode val="edge"/>
          <c:x val="0.2296132638264532"/>
          <c:y val="4.184753982967989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0.13700874167588556"/>
          <c:y val="0.20359375000000002"/>
          <c:w val="0.83268822802108411"/>
          <c:h val="0.55739583333333331"/>
        </c:manualLayout>
      </c:layout>
      <c:barChart>
        <c:barDir val="col"/>
        <c:grouping val="stacked"/>
        <c:varyColors val="0"/>
        <c:ser>
          <c:idx val="0"/>
          <c:order val="0"/>
          <c:tx>
            <c:strRef>
              <c:f>'1. All Trade'!$A$8</c:f>
              <c:strCache>
                <c:ptCount val="1"/>
                <c:pt idx="0">
                  <c:v>Goods (£bn)</c:v>
                </c:pt>
              </c:strCache>
            </c:strRef>
          </c:tx>
          <c:spPr>
            <a:solidFill>
              <a:srgbClr val="002060"/>
            </a:solidFill>
            <a:ln w="12700">
              <a:solidFill>
                <a:sysClr val="windowText" lastClr="000000"/>
              </a:solidFill>
            </a:ln>
            <a:effectLst/>
          </c:spPr>
          <c:invertIfNegative val="0"/>
          <c:dLbls>
            <c:dLbl>
              <c:idx val="0"/>
              <c:tx>
                <c:rich>
                  <a:bodyPr/>
                  <a:lstStyle/>
                  <a:p>
                    <a:fld id="{A2EF2BAC-BCB9-4818-A401-2417AA94245A}" type="VALUE">
                      <a:rPr lang="en-US"/>
                      <a:pPr/>
                      <a:t>[VALUE]</a:t>
                    </a:fld>
                    <a:r>
                      <a:rPr lang="en-US"/>
                      <a:t>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70DB-4ECE-A153-37AFA50143C7}"/>
                </c:ext>
              </c:extLst>
            </c:dLbl>
            <c:dLbl>
              <c:idx val="1"/>
              <c:tx>
                <c:rich>
                  <a:bodyPr/>
                  <a:lstStyle/>
                  <a:p>
                    <a:fld id="{5C6CD886-5F17-4636-861F-E6E95FB0D6CD}" type="VALUE">
                      <a:rPr lang="en-US"/>
                      <a:pPr/>
                      <a:t>[VALUE]</a:t>
                    </a:fld>
                    <a:r>
                      <a:rPr lang="en-US"/>
                      <a:t> 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70DB-4ECE-A153-37AFA50143C7}"/>
                </c:ext>
              </c:extLst>
            </c:dLbl>
            <c:numFmt formatCode="_-[$£-809]* #,##0_-;\-[$£-809]* #,##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Trade'!$B$7:$C$7</c:f>
              <c:strCache>
                <c:ptCount val="2"/>
                <c:pt idx="0">
                  <c:v>EU</c:v>
                </c:pt>
                <c:pt idx="1">
                  <c:v>Non-EU</c:v>
                </c:pt>
              </c:strCache>
            </c:strRef>
          </c:cat>
          <c:val>
            <c:numRef>
              <c:f>'1. All Trade'!$B$8:$C$8</c:f>
              <c:numCache>
                <c:formatCode>_-[$£-809]* #,##0.0_-;\-[$£-809]* #,##0.0_-;_-[$£-809]* "-"??_-;_-@_-</c:formatCode>
                <c:ptCount val="2"/>
                <c:pt idx="0">
                  <c:v>172.21100000000001</c:v>
                </c:pt>
                <c:pt idx="1">
                  <c:v>178.44</c:v>
                </c:pt>
              </c:numCache>
            </c:numRef>
          </c:val>
          <c:extLst>
            <c:ext xmlns:c16="http://schemas.microsoft.com/office/drawing/2014/chart" uri="{C3380CC4-5D6E-409C-BE32-E72D297353CC}">
              <c16:uniqueId val="{00000000-70DB-4ECE-A153-37AFA50143C7}"/>
            </c:ext>
          </c:extLst>
        </c:ser>
        <c:ser>
          <c:idx val="1"/>
          <c:order val="1"/>
          <c:tx>
            <c:strRef>
              <c:f>'1. All Trade'!$A$9</c:f>
              <c:strCache>
                <c:ptCount val="1"/>
                <c:pt idx="0">
                  <c:v>Services (£bn)</c:v>
                </c:pt>
              </c:strCache>
            </c:strRef>
          </c:tx>
          <c:spPr>
            <a:solidFill>
              <a:srgbClr val="C00000"/>
            </a:solidFill>
            <a:ln w="12700" cmpd="sng">
              <a:solidFill>
                <a:srgbClr val="800000"/>
              </a:solidFill>
            </a:ln>
            <a:effectLst/>
          </c:spPr>
          <c:invertIfNegative val="0"/>
          <c:dLbls>
            <c:dLbl>
              <c:idx val="0"/>
              <c:tx>
                <c:rich>
                  <a:bodyPr/>
                  <a:lstStyle/>
                  <a:p>
                    <a:fld id="{5B94571F-9F7F-49A4-B22C-C2F7DC234E8F}" type="VALUE">
                      <a:rPr lang="en-US"/>
                      <a:pPr/>
                      <a:t>[VALUE]</a:t>
                    </a:fld>
                    <a:r>
                      <a:rPr lang="en-US"/>
                      <a:t>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70DB-4ECE-A153-37AFA50143C7}"/>
                </c:ext>
              </c:extLst>
            </c:dLbl>
            <c:dLbl>
              <c:idx val="1"/>
              <c:tx>
                <c:rich>
                  <a:bodyPr/>
                  <a:lstStyle/>
                  <a:p>
                    <a:fld id="{6CEC8278-BBCF-4067-BF92-035A830CB487}" type="VALUE">
                      <a:rPr lang="en-US"/>
                      <a:pPr/>
                      <a:t>[VALUE]</a:t>
                    </a:fld>
                    <a:r>
                      <a:rPr lang="en-US"/>
                      <a:t>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0DB-4ECE-A153-37AFA50143C7}"/>
                </c:ext>
              </c:extLst>
            </c:dLbl>
            <c:numFmt formatCode="_-[$£-809]* #,##0_-;\-[$£-809]* #,##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Trade'!$B$7:$C$7</c:f>
              <c:strCache>
                <c:ptCount val="2"/>
                <c:pt idx="0">
                  <c:v>EU</c:v>
                </c:pt>
                <c:pt idx="1">
                  <c:v>Non-EU</c:v>
                </c:pt>
              </c:strCache>
            </c:strRef>
          </c:cat>
          <c:val>
            <c:numRef>
              <c:f>'1. All Trade'!$B$9:$C$9</c:f>
              <c:numCache>
                <c:formatCode>_-[$£-809]* #,##0.0_-;\-[$£-809]* #,##0.0_-;_-[$£-809]* "-"??_-;_-@_-</c:formatCode>
                <c:ptCount val="2"/>
                <c:pt idx="0">
                  <c:v>116.70699999999999</c:v>
                </c:pt>
                <c:pt idx="1">
                  <c:v>166.70400000000001</c:v>
                </c:pt>
              </c:numCache>
            </c:numRef>
          </c:val>
          <c:extLst>
            <c:ext xmlns:c16="http://schemas.microsoft.com/office/drawing/2014/chart" uri="{C3380CC4-5D6E-409C-BE32-E72D297353CC}">
              <c16:uniqueId val="{00000001-70DB-4ECE-A153-37AFA50143C7}"/>
            </c:ext>
          </c:extLst>
        </c:ser>
        <c:dLbls>
          <c:dLblPos val="ctr"/>
          <c:showLegendKey val="0"/>
          <c:showVal val="1"/>
          <c:showCatName val="0"/>
          <c:showSerName val="0"/>
          <c:showPercent val="0"/>
          <c:showBubbleSize val="0"/>
        </c:dLbls>
        <c:gapWidth val="150"/>
        <c:overlap val="100"/>
        <c:axId val="607280504"/>
        <c:axId val="607277224"/>
      </c:barChart>
      <c:catAx>
        <c:axId val="607280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607277224"/>
        <c:crosses val="autoZero"/>
        <c:auto val="1"/>
        <c:lblAlgn val="ctr"/>
        <c:lblOffset val="100"/>
        <c:noMultiLvlLbl val="0"/>
      </c:catAx>
      <c:valAx>
        <c:axId val="607277224"/>
        <c:scaling>
          <c:orientation val="minMax"/>
          <c:max val="3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r>
                  <a:rPr lang="en-AU">
                    <a:solidFill>
                      <a:schemeClr val="tx1">
                        <a:lumMod val="85000"/>
                        <a:lumOff val="15000"/>
                      </a:schemeClr>
                    </a:solidFill>
                  </a:rPr>
                  <a:t>£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mn-lt"/>
                <a:ea typeface="+mn-ea"/>
                <a:cs typeface="+mn-cs"/>
              </a:defRPr>
            </a:pPr>
            <a:endParaRPr lang="en-US"/>
          </a:p>
        </c:txPr>
        <c:crossAx val="607280504"/>
        <c:crosses val="autoZero"/>
        <c:crossBetween val="between"/>
      </c:valAx>
      <c:spPr>
        <a:noFill/>
        <a:ln w="12700">
          <a:solidFill>
            <a:schemeClr val="bg1">
              <a:lumMod val="95000"/>
            </a:schemeClr>
          </a:solid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Value of UK Trade in 2018 &amp; 20-year</a:t>
            </a:r>
            <a:r>
              <a:rPr lang="en-AU" b="1" baseline="0"/>
              <a:t> annual growth rates </a:t>
            </a:r>
            <a:endParaRPr lang="en-AU"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855619407390373"/>
          <c:y val="0.13711459689661318"/>
          <c:w val="0.84366062641325512"/>
          <c:h val="0.62394803147352995"/>
        </c:manualLayout>
      </c:layout>
      <c:barChart>
        <c:barDir val="col"/>
        <c:grouping val="clustered"/>
        <c:varyColors val="0"/>
        <c:ser>
          <c:idx val="0"/>
          <c:order val="0"/>
          <c:tx>
            <c:strRef>
              <c:f>'1. All Trade'!$B$111</c:f>
              <c:strCache>
                <c:ptCount val="1"/>
                <c:pt idx="0">
                  <c:v>Value 2018 £bn</c:v>
                </c:pt>
              </c:strCache>
            </c:strRef>
          </c:tx>
          <c:spPr>
            <a:solidFill>
              <a:schemeClr val="accent1"/>
            </a:solidFill>
            <a:ln>
              <a:noFill/>
            </a:ln>
            <a:effectLst/>
          </c:spPr>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2-4DA9-4802-AC94-135117BDCE25}"/>
              </c:ext>
            </c:extLst>
          </c:dPt>
          <c:dPt>
            <c:idx val="1"/>
            <c:invertIfNegative val="0"/>
            <c:bubble3D val="0"/>
            <c:spPr>
              <a:solidFill>
                <a:srgbClr val="C00000"/>
              </a:solidFill>
              <a:ln>
                <a:noFill/>
              </a:ln>
              <a:effectLst/>
            </c:spPr>
            <c:extLst>
              <c:ext xmlns:c16="http://schemas.microsoft.com/office/drawing/2014/chart" uri="{C3380CC4-5D6E-409C-BE32-E72D297353CC}">
                <c16:uniqueId val="{00000006-4DA9-4802-AC94-135117BDCE25}"/>
              </c:ext>
            </c:extLst>
          </c:dPt>
          <c:dPt>
            <c:idx val="2"/>
            <c:invertIfNegative val="0"/>
            <c:bubble3D val="0"/>
            <c:spPr>
              <a:solidFill>
                <a:schemeClr val="accent1">
                  <a:lumMod val="50000"/>
                </a:schemeClr>
              </a:solidFill>
              <a:ln>
                <a:noFill/>
              </a:ln>
              <a:effectLst/>
            </c:spPr>
            <c:extLst>
              <c:ext xmlns:c16="http://schemas.microsoft.com/office/drawing/2014/chart" uri="{C3380CC4-5D6E-409C-BE32-E72D297353CC}">
                <c16:uniqueId val="{00000003-4DA9-4802-AC94-135117BDCE25}"/>
              </c:ext>
            </c:extLst>
          </c:dPt>
          <c:dPt>
            <c:idx val="3"/>
            <c:invertIfNegative val="0"/>
            <c:bubble3D val="0"/>
            <c:spPr>
              <a:solidFill>
                <a:schemeClr val="accent1">
                  <a:lumMod val="50000"/>
                </a:schemeClr>
              </a:solidFill>
              <a:ln>
                <a:noFill/>
              </a:ln>
              <a:effectLst/>
            </c:spPr>
            <c:extLst>
              <c:ext xmlns:c16="http://schemas.microsoft.com/office/drawing/2014/chart" uri="{C3380CC4-5D6E-409C-BE32-E72D297353CC}">
                <c16:uniqueId val="{00000004-4DA9-4802-AC94-135117BDCE25}"/>
              </c:ext>
            </c:extLst>
          </c:dPt>
          <c:dPt>
            <c:idx val="4"/>
            <c:invertIfNegative val="0"/>
            <c:bubble3D val="0"/>
            <c:spPr>
              <a:solidFill>
                <a:srgbClr val="C00000"/>
              </a:solidFill>
              <a:ln>
                <a:noFill/>
              </a:ln>
              <a:effectLst/>
            </c:spPr>
            <c:extLst>
              <c:ext xmlns:c16="http://schemas.microsoft.com/office/drawing/2014/chart" uri="{C3380CC4-5D6E-409C-BE32-E72D297353CC}">
                <c16:uniqueId val="{00000007-4DA9-4802-AC94-135117BDCE25}"/>
              </c:ext>
            </c:extLst>
          </c:dPt>
          <c:dPt>
            <c:idx val="5"/>
            <c:invertIfNegative val="0"/>
            <c:bubble3D val="0"/>
            <c:spPr>
              <a:solidFill>
                <a:schemeClr val="accent1">
                  <a:lumMod val="50000"/>
                </a:schemeClr>
              </a:solidFill>
              <a:ln>
                <a:noFill/>
              </a:ln>
              <a:effectLst/>
            </c:spPr>
            <c:extLst>
              <c:ext xmlns:c16="http://schemas.microsoft.com/office/drawing/2014/chart" uri="{C3380CC4-5D6E-409C-BE32-E72D297353CC}">
                <c16:uniqueId val="{00000005-4DA9-4802-AC94-135117BDCE25}"/>
              </c:ext>
            </c:extLst>
          </c:dPt>
          <c:dPt>
            <c:idx val="6"/>
            <c:invertIfNegative val="0"/>
            <c:bubble3D val="0"/>
            <c:spPr>
              <a:solidFill>
                <a:srgbClr val="C00000"/>
              </a:solidFill>
              <a:ln>
                <a:noFill/>
              </a:ln>
              <a:effectLst/>
            </c:spPr>
            <c:extLst>
              <c:ext xmlns:c16="http://schemas.microsoft.com/office/drawing/2014/chart" uri="{C3380CC4-5D6E-409C-BE32-E72D297353CC}">
                <c16:uniqueId val="{00000008-4DA9-4802-AC94-135117BDCE25}"/>
              </c:ext>
            </c:extLst>
          </c:dPt>
          <c:dPt>
            <c:idx val="7"/>
            <c:invertIfNegative val="0"/>
            <c:bubble3D val="0"/>
            <c:spPr>
              <a:solidFill>
                <a:srgbClr val="C00000"/>
              </a:solidFill>
              <a:ln>
                <a:noFill/>
              </a:ln>
              <a:effectLst/>
            </c:spPr>
            <c:extLst>
              <c:ext xmlns:c16="http://schemas.microsoft.com/office/drawing/2014/chart" uri="{C3380CC4-5D6E-409C-BE32-E72D297353CC}">
                <c16:uniqueId val="{00000009-4DA9-4802-AC94-135117BDCE25}"/>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Trade'!$A$112:$A$119</c:f>
              <c:strCache>
                <c:ptCount val="8"/>
                <c:pt idx="0">
                  <c:v>1. Non-EU services exports</c:v>
                </c:pt>
                <c:pt idx="1">
                  <c:v>2. EU services exports</c:v>
                </c:pt>
                <c:pt idx="2">
                  <c:v>3. Non-Eu services imports</c:v>
                </c:pt>
                <c:pt idx="3">
                  <c:v>4. Non-EU Goods exports</c:v>
                </c:pt>
                <c:pt idx="4">
                  <c:v>5. EU services imports</c:v>
                </c:pt>
                <c:pt idx="5">
                  <c:v>6. Non-EU goods imports</c:v>
                </c:pt>
                <c:pt idx="6">
                  <c:v>7. EU goods imports</c:v>
                </c:pt>
                <c:pt idx="7">
                  <c:v>8. EU goods exports</c:v>
                </c:pt>
              </c:strCache>
            </c:strRef>
          </c:cat>
          <c:val>
            <c:numRef>
              <c:f>'1. All Trade'!$B$112:$B$119</c:f>
              <c:numCache>
                <c:formatCode>_-[$£-809]* #,##0_-;\-[$£-809]* #,##0_-;_-[$£-809]* "-"??_-;_-@_-</c:formatCode>
                <c:ptCount val="8"/>
                <c:pt idx="0">
                  <c:v>166.70400000000001</c:v>
                </c:pt>
                <c:pt idx="1">
                  <c:v>116.70699999999999</c:v>
                </c:pt>
                <c:pt idx="2">
                  <c:v>88.983999999999995</c:v>
                </c:pt>
                <c:pt idx="3">
                  <c:v>174.65799999999999</c:v>
                </c:pt>
                <c:pt idx="4">
                  <c:v>87.302999999999997</c:v>
                </c:pt>
                <c:pt idx="5">
                  <c:v>223.08099999999999</c:v>
                </c:pt>
                <c:pt idx="6">
                  <c:v>265.66300000000001</c:v>
                </c:pt>
                <c:pt idx="7">
                  <c:v>172.21100000000001</c:v>
                </c:pt>
              </c:numCache>
            </c:numRef>
          </c:val>
          <c:extLst>
            <c:ext xmlns:c16="http://schemas.microsoft.com/office/drawing/2014/chart" uri="{C3380CC4-5D6E-409C-BE32-E72D297353CC}">
              <c16:uniqueId val="{00000000-4DA9-4802-AC94-135117BDCE25}"/>
            </c:ext>
          </c:extLst>
        </c:ser>
        <c:dLbls>
          <c:dLblPos val="outEnd"/>
          <c:showLegendKey val="0"/>
          <c:showVal val="1"/>
          <c:showCatName val="0"/>
          <c:showSerName val="0"/>
          <c:showPercent val="0"/>
          <c:showBubbleSize val="0"/>
        </c:dLbls>
        <c:gapWidth val="219"/>
        <c:overlap val="-27"/>
        <c:axId val="617010752"/>
        <c:axId val="617012720"/>
      </c:barChart>
      <c:lineChart>
        <c:grouping val="standard"/>
        <c:varyColors val="0"/>
        <c:ser>
          <c:idx val="1"/>
          <c:order val="1"/>
          <c:tx>
            <c:strRef>
              <c:f>'1. All Trade'!$C$111</c:f>
              <c:strCache>
                <c:ptCount val="1"/>
                <c:pt idx="0">
                  <c:v>CAGR 1999-2018</c:v>
                </c:pt>
              </c:strCache>
            </c:strRef>
          </c:tx>
          <c:spPr>
            <a:ln w="28575" cap="rnd">
              <a:noFill/>
              <a:round/>
            </a:ln>
            <a:effectLst/>
          </c:spPr>
          <c:marker>
            <c:symbol val="diamond"/>
            <c:size val="8"/>
            <c:spPr>
              <a:pattFill prst="pct5">
                <a:fgClr>
                  <a:schemeClr val="tx1"/>
                </a:fgClr>
                <a:bgClr>
                  <a:schemeClr val="bg1"/>
                </a:bgClr>
              </a:pattFill>
              <a:ln w="38100">
                <a:solidFill>
                  <a:srgbClr val="FFC000"/>
                </a:solidFill>
              </a:ln>
              <a:effectLst/>
            </c:spPr>
          </c:marker>
          <c:dLbls>
            <c:dLbl>
              <c:idx val="3"/>
              <c:layout>
                <c:manualLayout>
                  <c:x val="6.2434961021780094E-3"/>
                  <c:y val="-6.057201375539193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DA9-4802-AC94-135117BDCE25}"/>
                </c:ext>
              </c:extLst>
            </c:dLbl>
            <c:dLbl>
              <c:idx val="5"/>
              <c:layout>
                <c:manualLayout>
                  <c:x val="9.3652973352644445E-3"/>
                  <c:y val="-9.91189857083950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DA9-4802-AC94-135117BDCE25}"/>
                </c:ext>
              </c:extLst>
            </c:dLbl>
            <c:dLbl>
              <c:idx val="6"/>
              <c:layout>
                <c:manualLayout>
                  <c:x val="9.3652973352645556E-3"/>
                  <c:y val="-1.32158647611194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DA9-4802-AC94-135117BDCE25}"/>
                </c:ext>
              </c:extLst>
            </c:dLbl>
            <c:dLbl>
              <c:idx val="7"/>
              <c:layout>
                <c:manualLayout>
                  <c:x val="6.2434961021780094E-3"/>
                  <c:y val="-1.2114402751078387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DA9-4802-AC94-135117BDCE25}"/>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Trade'!$A$112:$A$119</c:f>
              <c:strCache>
                <c:ptCount val="8"/>
                <c:pt idx="0">
                  <c:v>1. Non-EU services exports</c:v>
                </c:pt>
                <c:pt idx="1">
                  <c:v>2. EU services exports</c:v>
                </c:pt>
                <c:pt idx="2">
                  <c:v>3. Non-Eu services imports</c:v>
                </c:pt>
                <c:pt idx="3">
                  <c:v>4. Non-EU Goods exports</c:v>
                </c:pt>
                <c:pt idx="4">
                  <c:v>5. EU services imports</c:v>
                </c:pt>
                <c:pt idx="5">
                  <c:v>6. Non-EU goods imports</c:v>
                </c:pt>
                <c:pt idx="6">
                  <c:v>7. EU goods imports</c:v>
                </c:pt>
                <c:pt idx="7">
                  <c:v>8. EU goods exports</c:v>
                </c:pt>
              </c:strCache>
            </c:strRef>
          </c:cat>
          <c:val>
            <c:numRef>
              <c:f>'1. All Trade'!$C$112:$C$119</c:f>
              <c:numCache>
                <c:formatCode>0.0%</c:formatCode>
                <c:ptCount val="8"/>
                <c:pt idx="0">
                  <c:v>5.3851589948424872E-2</c:v>
                </c:pt>
                <c:pt idx="1">
                  <c:v>5.1311910835426966E-2</c:v>
                </c:pt>
                <c:pt idx="2">
                  <c:v>4.5979002408236269E-2</c:v>
                </c:pt>
                <c:pt idx="3">
                  <c:v>3.1732489464868285E-2</c:v>
                </c:pt>
                <c:pt idx="4">
                  <c:v>3.0924479275734384E-2</c:v>
                </c:pt>
                <c:pt idx="5">
                  <c:v>3.018512937515494E-2</c:v>
                </c:pt>
                <c:pt idx="6">
                  <c:v>3.0005842287019302E-2</c:v>
                </c:pt>
                <c:pt idx="7">
                  <c:v>3.1002118786171984E-3</c:v>
                </c:pt>
              </c:numCache>
            </c:numRef>
          </c:val>
          <c:smooth val="0"/>
          <c:extLst>
            <c:ext xmlns:c16="http://schemas.microsoft.com/office/drawing/2014/chart" uri="{C3380CC4-5D6E-409C-BE32-E72D297353CC}">
              <c16:uniqueId val="{00000001-4DA9-4802-AC94-135117BDCE25}"/>
            </c:ext>
          </c:extLst>
        </c:ser>
        <c:dLbls>
          <c:showLegendKey val="0"/>
          <c:showVal val="1"/>
          <c:showCatName val="0"/>
          <c:showSerName val="0"/>
          <c:showPercent val="0"/>
          <c:showBubbleSize val="0"/>
        </c:dLbls>
        <c:marker val="1"/>
        <c:smooth val="0"/>
        <c:axId val="610568936"/>
        <c:axId val="610568608"/>
      </c:lineChart>
      <c:catAx>
        <c:axId val="617010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17012720"/>
        <c:crosses val="autoZero"/>
        <c:auto val="1"/>
        <c:lblAlgn val="ctr"/>
        <c:lblOffset val="100"/>
        <c:noMultiLvlLbl val="0"/>
      </c:catAx>
      <c:valAx>
        <c:axId val="617012720"/>
        <c:scaling>
          <c:orientation val="minMax"/>
          <c:min val="1.0000000000000002E-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200" b="1" baseline="0"/>
                  <a:t>Value in £ billion </a:t>
                </a:r>
                <a:endParaRPr lang="en-AU" sz="12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17010752"/>
        <c:crosses val="autoZero"/>
        <c:crossBetween val="between"/>
      </c:valAx>
      <c:valAx>
        <c:axId val="610568608"/>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10568936"/>
        <c:crosses val="max"/>
        <c:crossBetween val="between"/>
      </c:valAx>
      <c:catAx>
        <c:axId val="610568936"/>
        <c:scaling>
          <c:orientation val="minMax"/>
        </c:scaling>
        <c:delete val="1"/>
        <c:axPos val="b"/>
        <c:numFmt formatCode="General" sourceLinked="1"/>
        <c:majorTickMark val="none"/>
        <c:minorTickMark val="none"/>
        <c:tickLblPos val="nextTo"/>
        <c:crossAx val="6105686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85000"/>
                    <a:lumOff val="15000"/>
                  </a:schemeClr>
                </a:solidFill>
                <a:latin typeface="+mn-lt"/>
                <a:ea typeface="+mn-ea"/>
                <a:cs typeface="+mn-cs"/>
              </a:defRPr>
            </a:pPr>
            <a:r>
              <a:rPr lang="en-AU" b="1">
                <a:solidFill>
                  <a:schemeClr val="tx1">
                    <a:lumMod val="85000"/>
                    <a:lumOff val="15000"/>
                  </a:schemeClr>
                </a:solidFill>
              </a:rPr>
              <a:t>UK exports</a:t>
            </a:r>
            <a:r>
              <a:rPr lang="en-AU" b="1" baseline="0">
                <a:solidFill>
                  <a:schemeClr val="tx1">
                    <a:lumMod val="85000"/>
                    <a:lumOff val="15000"/>
                  </a:schemeClr>
                </a:solidFill>
              </a:rPr>
              <a:t> to EU &amp; non-EU countries</a:t>
            </a:r>
            <a:r>
              <a:rPr lang="en-AU" b="1">
                <a:solidFill>
                  <a:schemeClr val="tx1">
                    <a:lumMod val="85000"/>
                    <a:lumOff val="15000"/>
                  </a:schemeClr>
                </a:solidFill>
              </a:rPr>
              <a:t>:</a:t>
            </a:r>
            <a:r>
              <a:rPr lang="en-AU" b="1" baseline="0">
                <a:solidFill>
                  <a:schemeClr val="tx1">
                    <a:lumMod val="85000"/>
                    <a:lumOff val="15000"/>
                  </a:schemeClr>
                </a:solidFill>
              </a:rPr>
              <a:t> 1999</a:t>
            </a:r>
            <a:endParaRPr lang="en-AU" b="1">
              <a:solidFill>
                <a:schemeClr val="tx1">
                  <a:lumMod val="85000"/>
                  <a:lumOff val="15000"/>
                </a:schemeClr>
              </a:solidFill>
            </a:endParaRPr>
          </a:p>
        </c:rich>
      </c:tx>
      <c:layout>
        <c:manualLayout>
          <c:xMode val="edge"/>
          <c:yMode val="edge"/>
          <c:x val="0.21010741082263823"/>
          <c:y val="4.0628502518266295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0.13700874167588556"/>
          <c:y val="0.20359375000000002"/>
          <c:w val="0.83268822802108411"/>
          <c:h val="0.55739583333333331"/>
        </c:manualLayout>
      </c:layout>
      <c:barChart>
        <c:barDir val="col"/>
        <c:grouping val="stacked"/>
        <c:varyColors val="0"/>
        <c:ser>
          <c:idx val="0"/>
          <c:order val="0"/>
          <c:tx>
            <c:strRef>
              <c:f>'1. All Trade'!$A$124</c:f>
              <c:strCache>
                <c:ptCount val="1"/>
                <c:pt idx="0">
                  <c:v>Goods (£bn)</c:v>
                </c:pt>
              </c:strCache>
            </c:strRef>
          </c:tx>
          <c:spPr>
            <a:solidFill>
              <a:srgbClr val="002060"/>
            </a:solidFill>
            <a:ln>
              <a:noFill/>
            </a:ln>
            <a:effectLst/>
          </c:spPr>
          <c:invertIfNegative val="0"/>
          <c:dLbls>
            <c:numFmt formatCode="_-[$£-809]* #,##0.0_-;\-[$£-809]* #,##0.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Trade'!$B$123:$C$123</c:f>
              <c:strCache>
                <c:ptCount val="2"/>
                <c:pt idx="0">
                  <c:v>EU</c:v>
                </c:pt>
                <c:pt idx="1">
                  <c:v>Non-EU</c:v>
                </c:pt>
              </c:strCache>
            </c:strRef>
          </c:cat>
          <c:val>
            <c:numRef>
              <c:f>'1. All Trade'!$B$124:$C$124</c:f>
              <c:numCache>
                <c:formatCode>_-[$£-809]* #,##0.0_-;\-[$£-809]* #,##0.0_-;_-[$£-809]* "-"??_-;_-@_-</c:formatCode>
                <c:ptCount val="2"/>
                <c:pt idx="0">
                  <c:v>100.111</c:v>
                </c:pt>
                <c:pt idx="1">
                  <c:v>65.168000000000006</c:v>
                </c:pt>
              </c:numCache>
            </c:numRef>
          </c:val>
          <c:extLst>
            <c:ext xmlns:c16="http://schemas.microsoft.com/office/drawing/2014/chart" uri="{C3380CC4-5D6E-409C-BE32-E72D297353CC}">
              <c16:uniqueId val="{00000002-4C62-4A3C-A7EF-DE2E339ED9F1}"/>
            </c:ext>
          </c:extLst>
        </c:ser>
        <c:ser>
          <c:idx val="1"/>
          <c:order val="1"/>
          <c:tx>
            <c:strRef>
              <c:f>'1. All Trade'!$A$125</c:f>
              <c:strCache>
                <c:ptCount val="1"/>
                <c:pt idx="0">
                  <c:v>Services (£bn)</c:v>
                </c:pt>
              </c:strCache>
            </c:strRef>
          </c:tx>
          <c:spPr>
            <a:solidFill>
              <a:srgbClr val="C00000"/>
            </a:solidFill>
            <a:ln>
              <a:noFill/>
            </a:ln>
            <a:effectLst/>
          </c:spPr>
          <c:invertIfNegative val="0"/>
          <c:dLbls>
            <c:numFmt formatCode="_-[$£-809]* #,##0.0_-;\-[$£-809]* #,##0.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Trade'!$B$123:$C$123</c:f>
              <c:strCache>
                <c:ptCount val="2"/>
                <c:pt idx="0">
                  <c:v>EU</c:v>
                </c:pt>
                <c:pt idx="1">
                  <c:v>Non-EU</c:v>
                </c:pt>
              </c:strCache>
            </c:strRef>
          </c:cat>
          <c:val>
            <c:numRef>
              <c:f>'1. All Trade'!$B$125:$C$125</c:f>
              <c:numCache>
                <c:formatCode>_-[$£-809]* #,##0.0_-;\-[$£-809]* #,##0.0_-;_-[$£-809]* "-"??_-;_-@_-</c:formatCode>
                <c:ptCount val="2"/>
                <c:pt idx="0">
                  <c:v>30.99</c:v>
                </c:pt>
                <c:pt idx="1">
                  <c:v>45.494999999999997</c:v>
                </c:pt>
              </c:numCache>
            </c:numRef>
          </c:val>
          <c:extLst>
            <c:ext xmlns:c16="http://schemas.microsoft.com/office/drawing/2014/chart" uri="{C3380CC4-5D6E-409C-BE32-E72D297353CC}">
              <c16:uniqueId val="{00000005-4C62-4A3C-A7EF-DE2E339ED9F1}"/>
            </c:ext>
          </c:extLst>
        </c:ser>
        <c:dLbls>
          <c:dLblPos val="ctr"/>
          <c:showLegendKey val="0"/>
          <c:showVal val="1"/>
          <c:showCatName val="0"/>
          <c:showSerName val="0"/>
          <c:showPercent val="0"/>
          <c:showBubbleSize val="0"/>
        </c:dLbls>
        <c:gapWidth val="150"/>
        <c:overlap val="100"/>
        <c:axId val="607280504"/>
        <c:axId val="607277224"/>
      </c:barChart>
      <c:catAx>
        <c:axId val="607280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607277224"/>
        <c:crosses val="autoZero"/>
        <c:auto val="1"/>
        <c:lblAlgn val="ctr"/>
        <c:lblOffset val="100"/>
        <c:noMultiLvlLbl val="0"/>
      </c:catAx>
      <c:valAx>
        <c:axId val="607277224"/>
        <c:scaling>
          <c:orientation val="minMax"/>
          <c:max val="14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r>
                  <a:rPr lang="en-AU">
                    <a:solidFill>
                      <a:schemeClr val="tx1">
                        <a:lumMod val="85000"/>
                        <a:lumOff val="15000"/>
                      </a:schemeClr>
                    </a:solidFill>
                  </a:rPr>
                  <a:t>£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mn-lt"/>
                <a:ea typeface="+mn-ea"/>
                <a:cs typeface="+mn-cs"/>
              </a:defRPr>
            </a:pPr>
            <a:endParaRPr lang="en-US"/>
          </a:p>
        </c:txPr>
        <c:crossAx val="607280504"/>
        <c:crosses val="autoZero"/>
        <c:crossBetween val="between"/>
      </c:valAx>
      <c:spPr>
        <a:noFill/>
        <a:ln w="12700">
          <a:solidFill>
            <a:schemeClr val="bg1">
              <a:lumMod val="95000"/>
            </a:schemeClr>
          </a:solid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UK Principal Manufacturing</a:t>
            </a:r>
            <a:r>
              <a:rPr lang="en-AU" baseline="0"/>
              <a:t> Exports 1998</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84A-46E7-A409-52EB2AC17038}"/>
              </c:ext>
            </c:extLst>
          </c:dPt>
          <c:val>
            <c:numRef>
              <c:f>'All Trade'!#REF!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'All Trade'!#REF!</c15:sqref>
                        </c15:formulaRef>
                      </c:ext>
                    </c:extLst>
                  </c:multiLvlStrRef>
                </c15:cat>
              </c15:filteredCategoryTitle>
            </c:ext>
            <c:ext xmlns:c16="http://schemas.microsoft.com/office/drawing/2014/chart" uri="{C3380CC4-5D6E-409C-BE32-E72D297353CC}">
              <c16:uniqueId val="{00000002-184A-46E7-A409-52EB2AC1703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chemeClr val="tx1">
                    <a:lumMod val="75000"/>
                    <a:lumOff val="25000"/>
                  </a:schemeClr>
                </a:solidFill>
                <a:latin typeface="+mn-lt"/>
                <a:ea typeface="+mn-ea"/>
                <a:cs typeface="+mn-cs"/>
              </a:defRPr>
            </a:pPr>
            <a:r>
              <a:rPr lang="en-AU" sz="1400" b="1" i="0" u="none" strike="noStrike" kern="1200" spc="0" baseline="0">
                <a:solidFill>
                  <a:schemeClr val="tx1">
                    <a:lumMod val="75000"/>
                    <a:lumOff val="25000"/>
                  </a:schemeClr>
                </a:solidFill>
                <a:latin typeface="+mn-lt"/>
                <a:ea typeface="+mn-ea"/>
                <a:cs typeface="+mn-cs"/>
              </a:rPr>
              <a:t>Annual growth in UK trade in goods (CAGR, real prices): </a:t>
            </a:r>
          </a:p>
          <a:p>
            <a:pPr>
              <a:defRPr lang="en-AU" sz="1400">
                <a:solidFill>
                  <a:schemeClr val="tx1">
                    <a:lumMod val="75000"/>
                    <a:lumOff val="25000"/>
                  </a:schemeClr>
                </a:solidFill>
              </a:defRPr>
            </a:pPr>
            <a:r>
              <a:rPr lang="en-AU" sz="1400" b="1" i="0" u="none" strike="noStrike" kern="1200" spc="0" baseline="0">
                <a:solidFill>
                  <a:schemeClr val="tx1">
                    <a:lumMod val="75000"/>
                    <a:lumOff val="25000"/>
                  </a:schemeClr>
                </a:solidFill>
                <a:latin typeface="+mn-lt"/>
                <a:ea typeface="+mn-ea"/>
                <a:cs typeface="+mn-cs"/>
              </a:rPr>
              <a:t>1999 – 2018</a:t>
            </a:r>
          </a:p>
          <a:p>
            <a:pPr>
              <a:defRPr lang="en-AU" sz="1400">
                <a:solidFill>
                  <a:schemeClr val="tx1">
                    <a:lumMod val="75000"/>
                    <a:lumOff val="25000"/>
                  </a:schemeClr>
                </a:solidFill>
              </a:defRPr>
            </a:pPr>
            <a:endParaRPr lang="en-AU" sz="1400" b="1" i="0" u="none" strike="noStrike" kern="1200" spc="0" baseline="0">
              <a:solidFill>
                <a:schemeClr val="tx1">
                  <a:lumMod val="75000"/>
                  <a:lumOff val="25000"/>
                </a:schemeClr>
              </a:solidFill>
              <a:latin typeface="+mn-lt"/>
              <a:ea typeface="+mn-ea"/>
              <a:cs typeface="+mn-cs"/>
            </a:endParaRPr>
          </a:p>
        </c:rich>
      </c:tx>
      <c:layout>
        <c:manualLayout>
          <c:xMode val="edge"/>
          <c:yMode val="edge"/>
          <c:x val="9.9494806662911661E-2"/>
          <c:y val="4.4473431198609234E-2"/>
        </c:manualLayout>
      </c:layout>
      <c:overlay val="0"/>
      <c:spPr>
        <a:noFill/>
        <a:ln>
          <a:noFill/>
        </a:ln>
        <a:effectLst/>
      </c:spPr>
      <c:txPr>
        <a:bodyPr rot="0" spcFirstLastPara="1" vertOverflow="ellipsis" vert="horz" wrap="square" anchor="ctr" anchorCtr="1"/>
        <a:lstStyle/>
        <a:p>
          <a:pPr>
            <a:defRPr lang="en-AU"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9.8505672419925278E-2"/>
          <c:y val="0.18512447276011826"/>
          <c:w val="0.85050109292551301"/>
          <c:h val="0.55748758782304153"/>
        </c:manualLayout>
      </c:layout>
      <c:barChart>
        <c:barDir val="bar"/>
        <c:grouping val="clustered"/>
        <c:varyColors val="0"/>
        <c:ser>
          <c:idx val="0"/>
          <c:order val="0"/>
          <c:tx>
            <c:strRef>
              <c:f>'2. Trade in Goods'!$B$74</c:f>
              <c:strCache>
                <c:ptCount val="1"/>
                <c:pt idx="0">
                  <c:v>EU</c:v>
                </c:pt>
              </c:strCache>
            </c:strRef>
          </c:tx>
          <c:spPr>
            <a:solidFill>
              <a:srgbClr val="990000"/>
            </a:solidFill>
            <a:ln>
              <a:solidFill>
                <a:srgbClr val="990000"/>
              </a:solid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Goods'!$A$75:$A$76</c:f>
              <c:strCache>
                <c:ptCount val="2"/>
                <c:pt idx="0">
                  <c:v>Exports </c:v>
                </c:pt>
                <c:pt idx="1">
                  <c:v>Imports</c:v>
                </c:pt>
              </c:strCache>
            </c:strRef>
          </c:cat>
          <c:val>
            <c:numRef>
              <c:f>'2. Trade in Goods'!$B$75:$B$76</c:f>
              <c:numCache>
                <c:formatCode>0.00%</c:formatCode>
                <c:ptCount val="2"/>
                <c:pt idx="0">
                  <c:v>3.1002118786171984E-3</c:v>
                </c:pt>
                <c:pt idx="1">
                  <c:v>3.0005842287019302E-2</c:v>
                </c:pt>
              </c:numCache>
            </c:numRef>
          </c:val>
          <c:extLst>
            <c:ext xmlns:c16="http://schemas.microsoft.com/office/drawing/2014/chart" uri="{C3380CC4-5D6E-409C-BE32-E72D297353CC}">
              <c16:uniqueId val="{00000000-5F7F-426F-8C8B-CECE5A4976AE}"/>
            </c:ext>
          </c:extLst>
        </c:ser>
        <c:ser>
          <c:idx val="1"/>
          <c:order val="1"/>
          <c:tx>
            <c:strRef>
              <c:f>'2. Trade in Goods'!$C$74</c:f>
              <c:strCache>
                <c:ptCount val="1"/>
                <c:pt idx="0">
                  <c:v>Non-EU </c:v>
                </c:pt>
              </c:strCache>
            </c:strRef>
          </c:tx>
          <c:spPr>
            <a:solidFill>
              <a:srgbClr val="002060"/>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Goods'!$A$75:$A$76</c:f>
              <c:strCache>
                <c:ptCount val="2"/>
                <c:pt idx="0">
                  <c:v>Exports </c:v>
                </c:pt>
                <c:pt idx="1">
                  <c:v>Imports</c:v>
                </c:pt>
              </c:strCache>
            </c:strRef>
          </c:cat>
          <c:val>
            <c:numRef>
              <c:f>'2. Trade in Goods'!$C$75:$C$76</c:f>
              <c:numCache>
                <c:formatCode>0.00%</c:formatCode>
                <c:ptCount val="2"/>
                <c:pt idx="0">
                  <c:v>3.1732489464868285E-2</c:v>
                </c:pt>
                <c:pt idx="1">
                  <c:v>3.018512937515494E-2</c:v>
                </c:pt>
              </c:numCache>
            </c:numRef>
          </c:val>
          <c:extLst>
            <c:ext xmlns:c16="http://schemas.microsoft.com/office/drawing/2014/chart" uri="{C3380CC4-5D6E-409C-BE32-E72D297353CC}">
              <c16:uniqueId val="{00000001-5F7F-426F-8C8B-CECE5A4976AE}"/>
            </c:ext>
          </c:extLst>
        </c:ser>
        <c:dLbls>
          <c:dLblPos val="outEnd"/>
          <c:showLegendKey val="0"/>
          <c:showVal val="1"/>
          <c:showCatName val="0"/>
          <c:showSerName val="0"/>
          <c:showPercent val="0"/>
          <c:showBubbleSize val="0"/>
        </c:dLbls>
        <c:gapWidth val="73"/>
        <c:overlap val="-28"/>
        <c:axId val="523953824"/>
        <c:axId val="523957104"/>
      </c:barChart>
      <c:catAx>
        <c:axId val="523953824"/>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523957104"/>
        <c:crosses val="autoZero"/>
        <c:auto val="1"/>
        <c:lblAlgn val="ctr"/>
        <c:lblOffset val="0"/>
        <c:noMultiLvlLbl val="0"/>
      </c:catAx>
      <c:valAx>
        <c:axId val="523957104"/>
        <c:scaling>
          <c:orientation val="minMax"/>
          <c:max val="4.0000000000000008E-2"/>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23953824"/>
        <c:crosses val="autoZero"/>
        <c:crossBetween val="between"/>
      </c:valAx>
      <c:spPr>
        <a:noFill/>
        <a:ln>
          <a:noFill/>
        </a:ln>
        <a:effectLst/>
      </c:spPr>
    </c:plotArea>
    <c:legend>
      <c:legendPos val="b"/>
      <c:layout>
        <c:manualLayout>
          <c:xMode val="edge"/>
          <c:yMode val="edge"/>
          <c:x val="0.38752032869519004"/>
          <c:y val="0.83629856351639864"/>
          <c:w val="0.22495916022814463"/>
          <c:h val="0.14280653127572446"/>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50" b="1"/>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goods exports to EU and non-EU countries, 1998–2018</a:t>
            </a:r>
          </a:p>
          <a:p>
            <a:pPr marL="0" marR="0" lvl="0" indent="0" algn="ctr" defTabSz="914400" rtl="0" eaLnBrk="1" fontAlgn="auto" latinLnBrk="0" hangingPunct="1">
              <a:lnSpc>
                <a:spcPct val="100000"/>
              </a:lnSpc>
              <a:spcBef>
                <a:spcPts val="0"/>
              </a:spcBef>
              <a:spcAft>
                <a:spcPts val="0"/>
              </a:spcAft>
              <a:buClrTx/>
              <a:buSzTx/>
              <a:buFontTx/>
              <a:buNone/>
              <a:tabLst/>
              <a:defRPr lang="en-AU" b="1">
                <a:solidFill>
                  <a:sysClr val="windowText" lastClr="000000">
                    <a:lumMod val="65000"/>
                    <a:lumOff val="35000"/>
                  </a:sysClr>
                </a:solidFill>
              </a:defRPr>
            </a:pPr>
            <a:r>
              <a:rPr lang="en-AU" sz="1400" b="1" i="0" u="none" strike="noStrike" kern="1200" spc="0" baseline="0">
                <a:solidFill>
                  <a:sysClr val="windowText" lastClr="000000">
                    <a:lumMod val="65000"/>
                    <a:lumOff val="35000"/>
                  </a:sysClr>
                </a:solidFill>
                <a:latin typeface="+mn-lt"/>
                <a:ea typeface="+mn-ea"/>
                <a:cs typeface="+mn-cs"/>
              </a:rPr>
              <a:t> </a:t>
            </a:r>
            <a:r>
              <a:rPr lang="en-AU" sz="1050" b="1" i="0" u="none" strike="noStrike" kern="1200" spc="0" baseline="0">
                <a:solidFill>
                  <a:sysClr val="windowText" lastClr="000000">
                    <a:lumMod val="65000"/>
                    <a:lumOff val="35000"/>
                  </a:sysClr>
                </a:solidFill>
                <a:latin typeface="+mn-lt"/>
                <a:ea typeface="+mn-ea"/>
                <a:cs typeface="+mn-cs"/>
              </a:rPr>
              <a:t>(2016 prices)</a:t>
            </a:r>
            <a:endParaRPr lang="en-AU" sz="1400" b="1" i="0" u="none" strike="noStrike" kern="1200" spc="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'2. Trade in Goods'!$A$115</c:f>
              <c:strCache>
                <c:ptCount val="1"/>
                <c:pt idx="0">
                  <c:v>Goods exports to EU (£ billion)</c:v>
                </c:pt>
              </c:strCache>
            </c:strRef>
          </c:tx>
          <c:spPr>
            <a:ln w="28575" cap="rnd">
              <a:solidFill>
                <a:srgbClr val="990000"/>
              </a:solidFill>
              <a:round/>
            </a:ln>
            <a:effectLst/>
          </c:spPr>
          <c:marker>
            <c:symbol val="none"/>
          </c:marker>
          <c:cat>
            <c:strRef>
              <c:f>'2. Trade in Goods'!$C$114:$V$114</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Goods'!$C$115:$V$115</c:f>
              <c:numCache>
                <c:formatCode>0.0</c:formatCode>
                <c:ptCount val="20"/>
                <c:pt idx="0">
                  <c:v>137.94070080862534</c:v>
                </c:pt>
                <c:pt idx="1">
                  <c:v>148.46578947368423</c:v>
                </c:pt>
                <c:pt idx="2">
                  <c:v>148.94248366013073</c:v>
                </c:pt>
                <c:pt idx="3">
                  <c:v>152.20954907161806</c:v>
                </c:pt>
                <c:pt idx="4">
                  <c:v>145.72193211488252</c:v>
                </c:pt>
                <c:pt idx="5">
                  <c:v>147.79473684210527</c:v>
                </c:pt>
                <c:pt idx="6">
                  <c:v>155.1145038167939</c:v>
                </c:pt>
                <c:pt idx="7">
                  <c:v>191.49438202247194</c:v>
                </c:pt>
                <c:pt idx="8">
                  <c:v>161.83838383838381</c:v>
                </c:pt>
                <c:pt idx="9">
                  <c:v>163.87111622554659</c:v>
                </c:pt>
                <c:pt idx="10">
                  <c:v>139.3170731707317</c:v>
                </c:pt>
                <c:pt idx="11">
                  <c:v>152.27397260273972</c:v>
                </c:pt>
                <c:pt idx="12">
                  <c:v>163.20941883767537</c:v>
                </c:pt>
                <c:pt idx="13">
                  <c:v>153.57603222557907</c:v>
                </c:pt>
                <c:pt idx="14">
                  <c:v>148.98817733990151</c:v>
                </c:pt>
                <c:pt idx="15">
                  <c:v>148.95740365111564</c:v>
                </c:pt>
                <c:pt idx="16">
                  <c:v>141.74337221633084</c:v>
                </c:pt>
                <c:pt idx="17">
                  <c:v>142.70500000000001</c:v>
                </c:pt>
                <c:pt idx="18">
                  <c:v>156.26761904761904</c:v>
                </c:pt>
                <c:pt idx="19">
                  <c:v>159.8987929433612</c:v>
                </c:pt>
              </c:numCache>
            </c:numRef>
          </c:val>
          <c:smooth val="0"/>
          <c:extLst>
            <c:ext xmlns:c16="http://schemas.microsoft.com/office/drawing/2014/chart" uri="{C3380CC4-5D6E-409C-BE32-E72D297353CC}">
              <c16:uniqueId val="{00000000-F9C0-4181-88E4-7AF1B9757D95}"/>
            </c:ext>
          </c:extLst>
        </c:ser>
        <c:ser>
          <c:idx val="1"/>
          <c:order val="1"/>
          <c:tx>
            <c:strRef>
              <c:f>'2. Trade in Goods'!$A$116</c:f>
              <c:strCache>
                <c:ptCount val="1"/>
                <c:pt idx="0">
                  <c:v>Goods exports to Non-EU (£ billion)</c:v>
                </c:pt>
              </c:strCache>
            </c:strRef>
          </c:tx>
          <c:spPr>
            <a:ln w="28575" cap="rnd">
              <a:solidFill>
                <a:srgbClr val="002060"/>
              </a:solidFill>
              <a:round/>
            </a:ln>
            <a:effectLst/>
          </c:spPr>
          <c:marker>
            <c:symbol val="none"/>
          </c:marker>
          <c:cat>
            <c:strRef>
              <c:f>'2. Trade in Goods'!$C$114:$V$114</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Goods'!$C$116:$V$116</c:f>
              <c:numCache>
                <c:formatCode>0.0</c:formatCode>
                <c:ptCount val="20"/>
                <c:pt idx="0">
                  <c:v>88.183288409703508</c:v>
                </c:pt>
                <c:pt idx="1">
                  <c:v>100.16578947368421</c:v>
                </c:pt>
                <c:pt idx="2">
                  <c:v>98.813071895424827</c:v>
                </c:pt>
                <c:pt idx="3">
                  <c:v>95.745358090185661</c:v>
                </c:pt>
                <c:pt idx="4">
                  <c:v>100.61488250652742</c:v>
                </c:pt>
                <c:pt idx="5">
                  <c:v>104.45921052631579</c:v>
                </c:pt>
                <c:pt idx="6">
                  <c:v>115.56870229007635</c:v>
                </c:pt>
                <c:pt idx="7">
                  <c:v>114.07240948813984</c:v>
                </c:pt>
                <c:pt idx="8">
                  <c:v>119.12626262626262</c:v>
                </c:pt>
                <c:pt idx="9">
                  <c:v>126.41542002301495</c:v>
                </c:pt>
                <c:pt idx="10">
                  <c:v>112.74944567627495</c:v>
                </c:pt>
                <c:pt idx="11">
                  <c:v>129.11380400421496</c:v>
                </c:pt>
                <c:pt idx="12">
                  <c:v>141.20340681362725</c:v>
                </c:pt>
                <c:pt idx="13">
                  <c:v>147.92245720040282</c:v>
                </c:pt>
                <c:pt idx="14">
                  <c:v>146.96256157635469</c:v>
                </c:pt>
                <c:pt idx="15">
                  <c:v>148.32048681541582</c:v>
                </c:pt>
                <c:pt idx="16">
                  <c:v>162.34146341463415</c:v>
                </c:pt>
                <c:pt idx="17">
                  <c:v>156.36799999999999</c:v>
                </c:pt>
                <c:pt idx="18">
                  <c:v>166.34095238095236</c:v>
                </c:pt>
                <c:pt idx="19">
                  <c:v>165.6824512534819</c:v>
                </c:pt>
              </c:numCache>
            </c:numRef>
          </c:val>
          <c:smooth val="0"/>
          <c:extLst>
            <c:ext xmlns:c16="http://schemas.microsoft.com/office/drawing/2014/chart" uri="{C3380CC4-5D6E-409C-BE32-E72D297353CC}">
              <c16:uniqueId val="{00000001-F9C0-4181-88E4-7AF1B9757D95}"/>
            </c:ext>
          </c:extLst>
        </c:ser>
        <c:dLbls>
          <c:showLegendKey val="0"/>
          <c:showVal val="0"/>
          <c:showCatName val="0"/>
          <c:showSerName val="0"/>
          <c:showPercent val="0"/>
          <c:showBubbleSize val="0"/>
        </c:dLbls>
        <c:smooth val="0"/>
        <c:axId val="514809752"/>
        <c:axId val="514814344"/>
      </c:lineChart>
      <c:catAx>
        <c:axId val="51480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514814344"/>
        <c:crosses val="autoZero"/>
        <c:auto val="1"/>
        <c:lblAlgn val="ctr"/>
        <c:lblOffset val="100"/>
        <c:noMultiLvlLbl val="0"/>
      </c:catAx>
      <c:valAx>
        <c:axId val="514814344"/>
        <c:scaling>
          <c:orientation val="minMax"/>
          <c:max val="20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billion</a:t>
                </a:r>
              </a:p>
            </c:rich>
          </c:tx>
          <c:layout>
            <c:manualLayout>
              <c:xMode val="edge"/>
              <c:yMode val="edge"/>
              <c:x val="1.1876483449933282E-2"/>
              <c:y val="0.364685943788298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4809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UK-EU trade in goods: 1999 – 2018</a:t>
            </a:r>
          </a:p>
          <a:p>
            <a:pPr marL="0" marR="0" lvl="0" indent="0" algn="ctr" defTabSz="914400" rtl="0" eaLnBrk="1" fontAlgn="auto" latinLnBrk="0" hangingPunct="1">
              <a:lnSpc>
                <a:spcPct val="100000"/>
              </a:lnSpc>
              <a:spcBef>
                <a:spcPts val="0"/>
              </a:spcBef>
              <a:spcAft>
                <a:spcPts val="0"/>
              </a:spcAft>
              <a:buClrTx/>
              <a:buSzTx/>
              <a:buFontTx/>
              <a:buNone/>
              <a:tabLst/>
              <a:defRPr lang="en-AU" b="1">
                <a:solidFill>
                  <a:sysClr val="windowText" lastClr="000000">
                    <a:lumMod val="65000"/>
                    <a:lumOff val="35000"/>
                  </a:sysClr>
                </a:solidFill>
              </a:defRPr>
            </a:pPr>
            <a:endParaRPr lang="en-AU" sz="1400" b="1" i="0" u="none" strike="noStrike" kern="1200" spc="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7.7586723911118996E-2"/>
          <c:y val="0.14883078394891275"/>
          <c:w val="0.90585532259978119"/>
          <c:h val="0.63545037472922417"/>
        </c:manualLayout>
      </c:layout>
      <c:barChart>
        <c:barDir val="col"/>
        <c:grouping val="clustered"/>
        <c:varyColors val="0"/>
        <c:ser>
          <c:idx val="0"/>
          <c:order val="0"/>
          <c:tx>
            <c:strRef>
              <c:f>'2. Trade in Goods'!$A$138</c:f>
              <c:strCache>
                <c:ptCount val="1"/>
                <c:pt idx="0">
                  <c:v>Total goods exports to EU</c:v>
                </c:pt>
              </c:strCache>
            </c:strRef>
          </c:tx>
          <c:spPr>
            <a:solidFill>
              <a:srgbClr val="800000"/>
            </a:solidFill>
            <a:ln>
              <a:solidFill>
                <a:srgbClr val="990000"/>
              </a:solidFill>
            </a:ln>
            <a:effectLst/>
          </c:spPr>
          <c:invertIfNegative val="0"/>
          <c:cat>
            <c:strRef>
              <c:f>'2. Trade in Goods'!$C$137:$V$137</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Goods'!$C$138:$V$138</c:f>
              <c:numCache>
                <c:formatCode>0.00</c:formatCode>
                <c:ptCount val="20"/>
                <c:pt idx="0">
                  <c:v>137.94070080862534</c:v>
                </c:pt>
                <c:pt idx="1">
                  <c:v>148.46578947368423</c:v>
                </c:pt>
                <c:pt idx="2">
                  <c:v>148.94248366013073</c:v>
                </c:pt>
                <c:pt idx="3">
                  <c:v>152.20954907161806</c:v>
                </c:pt>
                <c:pt idx="4">
                  <c:v>145.72193211488252</c:v>
                </c:pt>
                <c:pt idx="5">
                  <c:v>147.79473684210527</c:v>
                </c:pt>
                <c:pt idx="6">
                  <c:v>155.1145038167939</c:v>
                </c:pt>
                <c:pt idx="7">
                  <c:v>191.49438202247194</c:v>
                </c:pt>
                <c:pt idx="8">
                  <c:v>161.83838383838381</c:v>
                </c:pt>
                <c:pt idx="9">
                  <c:v>163.87111622554659</c:v>
                </c:pt>
                <c:pt idx="10">
                  <c:v>139.3170731707317</c:v>
                </c:pt>
                <c:pt idx="11">
                  <c:v>152.27397260273972</c:v>
                </c:pt>
                <c:pt idx="12">
                  <c:v>163.20941883767537</c:v>
                </c:pt>
                <c:pt idx="13">
                  <c:v>153.57603222557907</c:v>
                </c:pt>
                <c:pt idx="14">
                  <c:v>148.98817733990151</c:v>
                </c:pt>
                <c:pt idx="15">
                  <c:v>148.95740365111564</c:v>
                </c:pt>
                <c:pt idx="16">
                  <c:v>141.74337221633084</c:v>
                </c:pt>
                <c:pt idx="17">
                  <c:v>142.70500000000001</c:v>
                </c:pt>
                <c:pt idx="18">
                  <c:v>156.26761904761904</c:v>
                </c:pt>
                <c:pt idx="19">
                  <c:v>159.8987929433612</c:v>
                </c:pt>
              </c:numCache>
            </c:numRef>
          </c:val>
          <c:extLst>
            <c:ext xmlns:c16="http://schemas.microsoft.com/office/drawing/2014/chart" uri="{C3380CC4-5D6E-409C-BE32-E72D297353CC}">
              <c16:uniqueId val="{00000000-47F7-4A21-95AE-EBDBF94E650C}"/>
            </c:ext>
          </c:extLst>
        </c:ser>
        <c:ser>
          <c:idx val="1"/>
          <c:order val="1"/>
          <c:tx>
            <c:strRef>
              <c:f>'2. Trade in Goods'!$A$139</c:f>
              <c:strCache>
                <c:ptCount val="1"/>
                <c:pt idx="0">
                  <c:v>Total goods imports from EU</c:v>
                </c:pt>
              </c:strCache>
            </c:strRef>
          </c:tx>
          <c:spPr>
            <a:solidFill>
              <a:srgbClr val="002060"/>
            </a:solidFill>
            <a:ln>
              <a:noFill/>
            </a:ln>
            <a:effectLst/>
          </c:spPr>
          <c:invertIfNegative val="0"/>
          <c:cat>
            <c:strRef>
              <c:f>'2. Trade in Goods'!$C$137:$V$137</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Goods'!$C$139:$V$139</c:f>
              <c:numCache>
                <c:formatCode>0.00</c:formatCode>
                <c:ptCount val="20"/>
                <c:pt idx="0">
                  <c:v>138.47236180904525</c:v>
                </c:pt>
                <c:pt idx="1">
                  <c:v>144.62668298653608</c:v>
                </c:pt>
                <c:pt idx="2">
                  <c:v>156.85049019607843</c:v>
                </c:pt>
                <c:pt idx="3">
                  <c:v>175.32408575031528</c:v>
                </c:pt>
                <c:pt idx="4">
                  <c:v>175.56423173803526</c:v>
                </c:pt>
                <c:pt idx="5">
                  <c:v>183.9808429118774</c:v>
                </c:pt>
                <c:pt idx="6">
                  <c:v>196.89259259259259</c:v>
                </c:pt>
                <c:pt idx="7">
                  <c:v>223.36341756919376</c:v>
                </c:pt>
                <c:pt idx="8">
                  <c:v>204.17224880382776</c:v>
                </c:pt>
                <c:pt idx="9">
                  <c:v>194.66773162939296</c:v>
                </c:pt>
                <c:pt idx="10">
                  <c:v>172.47181628392485</c:v>
                </c:pt>
                <c:pt idx="11">
                  <c:v>189.59879032258064</c:v>
                </c:pt>
                <c:pt idx="12">
                  <c:v>192.06880301602263</c:v>
                </c:pt>
                <c:pt idx="13">
                  <c:v>198.30769230769232</c:v>
                </c:pt>
                <c:pt idx="14">
                  <c:v>205.78927563499531</c:v>
                </c:pt>
                <c:pt idx="15">
                  <c:v>220.02257114818448</c:v>
                </c:pt>
                <c:pt idx="16">
                  <c:v>229.71041666666667</c:v>
                </c:pt>
                <c:pt idx="17">
                  <c:v>237.06700000000001</c:v>
                </c:pt>
                <c:pt idx="18">
                  <c:v>245.54743833017079</c:v>
                </c:pt>
                <c:pt idx="19">
                  <c:v>244.62523020257831</c:v>
                </c:pt>
              </c:numCache>
            </c:numRef>
          </c:val>
          <c:extLst>
            <c:ext xmlns:c16="http://schemas.microsoft.com/office/drawing/2014/chart" uri="{C3380CC4-5D6E-409C-BE32-E72D297353CC}">
              <c16:uniqueId val="{00000001-47F7-4A21-95AE-EBDBF94E650C}"/>
            </c:ext>
          </c:extLst>
        </c:ser>
        <c:ser>
          <c:idx val="2"/>
          <c:order val="2"/>
          <c:tx>
            <c:strRef>
              <c:f>'2. Trade in Goods'!$A$140</c:f>
              <c:strCache>
                <c:ptCount val="1"/>
                <c:pt idx="0">
                  <c:v> Balance </c:v>
                </c:pt>
              </c:strCache>
            </c:strRef>
          </c:tx>
          <c:spPr>
            <a:solidFill>
              <a:schemeClr val="accent3"/>
            </a:solidFill>
            <a:ln>
              <a:solidFill>
                <a:schemeClr val="tx1">
                  <a:lumMod val="75000"/>
                  <a:lumOff val="25000"/>
                </a:schemeClr>
              </a:solidFill>
            </a:ln>
            <a:effectLst/>
          </c:spPr>
          <c:invertIfNegative val="0"/>
          <c:cat>
            <c:strRef>
              <c:f>'2. Trade in Goods'!$C$137:$V$137</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Goods'!$C$140:$V$140</c:f>
              <c:numCache>
                <c:formatCode>0.00</c:formatCode>
                <c:ptCount val="20"/>
                <c:pt idx="0">
                  <c:v>-0.53166100041991626</c:v>
                </c:pt>
                <c:pt idx="1">
                  <c:v>3.8391064871481433</c:v>
                </c:pt>
                <c:pt idx="2">
                  <c:v>-7.9080065359476919</c:v>
                </c:pt>
                <c:pt idx="3">
                  <c:v>-23.11453667869722</c:v>
                </c:pt>
                <c:pt idx="4">
                  <c:v>-29.842299623152741</c:v>
                </c:pt>
                <c:pt idx="5">
                  <c:v>-36.186106069772137</c:v>
                </c:pt>
                <c:pt idx="6">
                  <c:v>-41.778088775798693</c:v>
                </c:pt>
                <c:pt idx="7">
                  <c:v>-31.869035546721818</c:v>
                </c:pt>
                <c:pt idx="8">
                  <c:v>-42.333864965443951</c:v>
                </c:pt>
                <c:pt idx="9">
                  <c:v>-30.796615403846374</c:v>
                </c:pt>
                <c:pt idx="10">
                  <c:v>-33.154743113193149</c:v>
                </c:pt>
                <c:pt idx="11">
                  <c:v>-37.324817719840922</c:v>
                </c:pt>
                <c:pt idx="12">
                  <c:v>-28.859384178347256</c:v>
                </c:pt>
                <c:pt idx="13">
                  <c:v>-44.731660082113251</c:v>
                </c:pt>
                <c:pt idx="14">
                  <c:v>-56.801098295093794</c:v>
                </c:pt>
                <c:pt idx="15">
                  <c:v>-71.065167497068842</c:v>
                </c:pt>
                <c:pt idx="16">
                  <c:v>-87.967044450335834</c:v>
                </c:pt>
                <c:pt idx="17">
                  <c:v>-94.361999999999995</c:v>
                </c:pt>
                <c:pt idx="18" formatCode="_-[$£-809]* #,##0.00_-;\-[$£-809]* #,##0.00_-;_-[$£-809]* &quot;-&quot;??_-;_-@_-">
                  <c:v>-89.279819282551756</c:v>
                </c:pt>
                <c:pt idx="19">
                  <c:v>-84.726437259217107</c:v>
                </c:pt>
              </c:numCache>
            </c:numRef>
          </c:val>
          <c:extLst>
            <c:ext xmlns:c16="http://schemas.microsoft.com/office/drawing/2014/chart" uri="{C3380CC4-5D6E-409C-BE32-E72D297353CC}">
              <c16:uniqueId val="{00000002-47F7-4A21-95AE-EBDBF94E650C}"/>
            </c:ext>
          </c:extLst>
        </c:ser>
        <c:dLbls>
          <c:showLegendKey val="0"/>
          <c:showVal val="0"/>
          <c:showCatName val="0"/>
          <c:showSerName val="0"/>
          <c:showPercent val="0"/>
          <c:showBubbleSize val="0"/>
        </c:dLbls>
        <c:gapWidth val="219"/>
        <c:overlap val="-27"/>
        <c:axId val="516891728"/>
        <c:axId val="516890416"/>
      </c:barChart>
      <c:catAx>
        <c:axId val="51689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16890416"/>
        <c:crosses val="autoZero"/>
        <c:auto val="1"/>
        <c:lblAlgn val="ctr"/>
        <c:lblOffset val="1000"/>
        <c:noMultiLvlLbl val="0"/>
      </c:catAx>
      <c:valAx>
        <c:axId val="516890416"/>
        <c:scaling>
          <c:orientation val="minMax"/>
          <c:max val="25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AU" b="1"/>
                  <a:t>£ billion</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689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 non-EU trade in goods: 1999 – 2018</a:t>
            </a:r>
          </a:p>
        </c:rich>
      </c:tx>
      <c:overlay val="0"/>
      <c:spPr>
        <a:noFill/>
        <a:ln>
          <a:noFill/>
        </a:ln>
        <a:effectLst/>
      </c:spPr>
      <c:txPr>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'2. Trade in Goods'!$A$143</c:f>
              <c:strCache>
                <c:ptCount val="1"/>
                <c:pt idx="0">
                  <c:v>Total goods exports to Non-EU </c:v>
                </c:pt>
              </c:strCache>
            </c:strRef>
          </c:tx>
          <c:spPr>
            <a:solidFill>
              <a:srgbClr val="800000"/>
            </a:solidFill>
            <a:ln>
              <a:solidFill>
                <a:srgbClr val="990000"/>
              </a:solidFill>
            </a:ln>
            <a:effectLst/>
          </c:spPr>
          <c:invertIfNegative val="0"/>
          <c:cat>
            <c:strRef>
              <c:f>'2. Trade in Goods'!$C$142:$V$142</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Goods'!$C$143:$V$143</c:f>
              <c:numCache>
                <c:formatCode>0.000</c:formatCode>
                <c:ptCount val="20"/>
                <c:pt idx="0">
                  <c:v>88.183288409703508</c:v>
                </c:pt>
                <c:pt idx="1">
                  <c:v>100.16578947368421</c:v>
                </c:pt>
                <c:pt idx="2">
                  <c:v>98.813071895424827</c:v>
                </c:pt>
                <c:pt idx="3">
                  <c:v>95.745358090185661</c:v>
                </c:pt>
                <c:pt idx="4">
                  <c:v>100.61488250652742</c:v>
                </c:pt>
                <c:pt idx="5">
                  <c:v>104.45921052631579</c:v>
                </c:pt>
                <c:pt idx="6">
                  <c:v>115.56870229007635</c:v>
                </c:pt>
                <c:pt idx="7">
                  <c:v>114.07240948813984</c:v>
                </c:pt>
                <c:pt idx="8">
                  <c:v>119.12626262626262</c:v>
                </c:pt>
                <c:pt idx="9">
                  <c:v>126.41542002301495</c:v>
                </c:pt>
                <c:pt idx="10">
                  <c:v>112.74944567627495</c:v>
                </c:pt>
                <c:pt idx="11">
                  <c:v>129.11380400421496</c:v>
                </c:pt>
                <c:pt idx="12">
                  <c:v>141.20340681362725</c:v>
                </c:pt>
                <c:pt idx="13">
                  <c:v>147.92245720040282</c:v>
                </c:pt>
                <c:pt idx="14">
                  <c:v>146.96256157635469</c:v>
                </c:pt>
                <c:pt idx="15">
                  <c:v>148.32048681541582</c:v>
                </c:pt>
                <c:pt idx="16">
                  <c:v>162.34146341463415</c:v>
                </c:pt>
                <c:pt idx="17">
                  <c:v>156.36799999999999</c:v>
                </c:pt>
                <c:pt idx="18">
                  <c:v>166.34095238095236</c:v>
                </c:pt>
                <c:pt idx="19">
                  <c:v>165.6824512534819</c:v>
                </c:pt>
              </c:numCache>
            </c:numRef>
          </c:val>
          <c:extLst>
            <c:ext xmlns:c16="http://schemas.microsoft.com/office/drawing/2014/chart" uri="{C3380CC4-5D6E-409C-BE32-E72D297353CC}">
              <c16:uniqueId val="{00000000-3771-4B47-B7B4-41FCDE3B7545}"/>
            </c:ext>
          </c:extLst>
        </c:ser>
        <c:ser>
          <c:idx val="1"/>
          <c:order val="1"/>
          <c:tx>
            <c:strRef>
              <c:f>'2. Trade in Goods'!$A$144</c:f>
              <c:strCache>
                <c:ptCount val="1"/>
                <c:pt idx="0">
                  <c:v>Total goods imports from Non-EU</c:v>
                </c:pt>
              </c:strCache>
            </c:strRef>
          </c:tx>
          <c:spPr>
            <a:solidFill>
              <a:srgbClr val="002060"/>
            </a:solidFill>
            <a:ln>
              <a:noFill/>
            </a:ln>
            <a:effectLst/>
          </c:spPr>
          <c:invertIfNegative val="0"/>
          <c:cat>
            <c:strRef>
              <c:f>'2. Trade in Goods'!$C$142:$V$142</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Goods'!$C$144:$V$144</c:f>
              <c:numCache>
                <c:formatCode>0.000</c:formatCode>
                <c:ptCount val="20"/>
                <c:pt idx="0">
                  <c:v>108.00000000000001</c:v>
                </c:pt>
                <c:pt idx="1">
                  <c:v>128.70379436964504</c:v>
                </c:pt>
                <c:pt idx="2">
                  <c:v>128.77205882352942</c:v>
                </c:pt>
                <c:pt idx="3">
                  <c:v>122.9609079445145</c:v>
                </c:pt>
                <c:pt idx="4">
                  <c:v>126.2191435768262</c:v>
                </c:pt>
                <c:pt idx="5">
                  <c:v>138.80459770114945</c:v>
                </c:pt>
                <c:pt idx="6">
                  <c:v>151.61234567901232</c:v>
                </c:pt>
                <c:pt idx="7">
                  <c:v>164.91095066185321</c:v>
                </c:pt>
                <c:pt idx="8">
                  <c:v>167.96650717703349</c:v>
                </c:pt>
                <c:pt idx="9">
                  <c:v>171.59744408945684</c:v>
                </c:pt>
                <c:pt idx="10">
                  <c:v>153.90501043841337</c:v>
                </c:pt>
                <c:pt idx="11">
                  <c:v>175.97681451612902</c:v>
                </c:pt>
                <c:pt idx="12">
                  <c:v>183.20640904806788</c:v>
                </c:pt>
                <c:pt idx="13">
                  <c:v>187.3599240265907</c:v>
                </c:pt>
                <c:pt idx="14">
                  <c:v>188.73565380997178</c:v>
                </c:pt>
                <c:pt idx="15">
                  <c:v>187.42296368989204</c:v>
                </c:pt>
                <c:pt idx="16">
                  <c:v>191.70833333333334</c:v>
                </c:pt>
                <c:pt idx="17">
                  <c:v>194.65799999999999</c:v>
                </c:pt>
                <c:pt idx="18">
                  <c:v>205.85104364326375</c:v>
                </c:pt>
                <c:pt idx="19">
                  <c:v>205.41528545119706</c:v>
                </c:pt>
              </c:numCache>
            </c:numRef>
          </c:val>
          <c:extLst>
            <c:ext xmlns:c16="http://schemas.microsoft.com/office/drawing/2014/chart" uri="{C3380CC4-5D6E-409C-BE32-E72D297353CC}">
              <c16:uniqueId val="{00000001-3771-4B47-B7B4-41FCDE3B7545}"/>
            </c:ext>
          </c:extLst>
        </c:ser>
        <c:ser>
          <c:idx val="2"/>
          <c:order val="2"/>
          <c:tx>
            <c:strRef>
              <c:f>'2. Trade in Goods'!$A$145</c:f>
              <c:strCache>
                <c:ptCount val="1"/>
                <c:pt idx="0">
                  <c:v>Balance</c:v>
                </c:pt>
              </c:strCache>
            </c:strRef>
          </c:tx>
          <c:spPr>
            <a:solidFill>
              <a:schemeClr val="accent3"/>
            </a:solidFill>
            <a:ln>
              <a:solidFill>
                <a:schemeClr val="bg2">
                  <a:lumMod val="25000"/>
                </a:schemeClr>
              </a:solidFill>
            </a:ln>
            <a:effectLst/>
          </c:spPr>
          <c:invertIfNegative val="0"/>
          <c:cat>
            <c:strRef>
              <c:f>'2. Trade in Goods'!$C$142:$V$142</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Goods'!$C$145:$V$145</c:f>
              <c:numCache>
                <c:formatCode>0.00</c:formatCode>
                <c:ptCount val="20"/>
                <c:pt idx="0">
                  <c:v>-19.816711590296507</c:v>
                </c:pt>
                <c:pt idx="1">
                  <c:v>-28.538004895960825</c:v>
                </c:pt>
                <c:pt idx="2">
                  <c:v>-29.958986928104594</c:v>
                </c:pt>
                <c:pt idx="3">
                  <c:v>-27.215549854328842</c:v>
                </c:pt>
                <c:pt idx="4">
                  <c:v>-25.604261070298776</c:v>
                </c:pt>
                <c:pt idx="5">
                  <c:v>-34.345387174833661</c:v>
                </c:pt>
                <c:pt idx="6">
                  <c:v>-36.043643388935976</c:v>
                </c:pt>
                <c:pt idx="7">
                  <c:v>-50.838541173713367</c:v>
                </c:pt>
                <c:pt idx="8">
                  <c:v>-48.840244550770876</c:v>
                </c:pt>
                <c:pt idx="9">
                  <c:v>-45.182024066441898</c:v>
                </c:pt>
                <c:pt idx="10">
                  <c:v>-41.155564762138425</c:v>
                </c:pt>
                <c:pt idx="11">
                  <c:v>-46.863010511914069</c:v>
                </c:pt>
                <c:pt idx="12">
                  <c:v>-42.003002234440629</c:v>
                </c:pt>
                <c:pt idx="13">
                  <c:v>-39.437466826187887</c:v>
                </c:pt>
                <c:pt idx="14">
                  <c:v>-41.773092233617092</c:v>
                </c:pt>
                <c:pt idx="15">
                  <c:v>-39.102476874476224</c:v>
                </c:pt>
                <c:pt idx="16">
                  <c:v>-29.366869918699194</c:v>
                </c:pt>
                <c:pt idx="17">
                  <c:v>-38.289999999999992</c:v>
                </c:pt>
                <c:pt idx="18" formatCode="_-[$£-809]* #,##0.00_-;\-[$£-809]* #,##0.00_-;_-[$£-809]* &quot;-&quot;??_-;_-@_-">
                  <c:v>-39.510091262311391</c:v>
                </c:pt>
                <c:pt idx="19">
                  <c:v>-39.732834197715164</c:v>
                </c:pt>
              </c:numCache>
            </c:numRef>
          </c:val>
          <c:extLst>
            <c:ext xmlns:c16="http://schemas.microsoft.com/office/drawing/2014/chart" uri="{C3380CC4-5D6E-409C-BE32-E72D297353CC}">
              <c16:uniqueId val="{00000002-3771-4B47-B7B4-41FCDE3B7545}"/>
            </c:ext>
          </c:extLst>
        </c:ser>
        <c:dLbls>
          <c:showLegendKey val="0"/>
          <c:showVal val="0"/>
          <c:showCatName val="0"/>
          <c:showSerName val="0"/>
          <c:showPercent val="0"/>
          <c:showBubbleSize val="0"/>
        </c:dLbls>
        <c:gapWidth val="219"/>
        <c:overlap val="-27"/>
        <c:axId val="516911408"/>
        <c:axId val="516909768"/>
      </c:barChart>
      <c:catAx>
        <c:axId val="51691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16909768"/>
        <c:crosses val="autoZero"/>
        <c:auto val="1"/>
        <c:lblAlgn val="ctr"/>
        <c:lblOffset val="700"/>
        <c:noMultiLvlLbl val="0"/>
      </c:catAx>
      <c:valAx>
        <c:axId val="516909768"/>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911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Overall</a:t>
            </a:r>
            <a:r>
              <a:rPr lang="en-AU" b="1" baseline="0"/>
              <a:t> g</a:t>
            </a:r>
            <a:r>
              <a:rPr lang="en-AU" b="1"/>
              <a:t>rowth</a:t>
            </a:r>
            <a:r>
              <a:rPr lang="en-AU" b="1" baseline="0"/>
              <a:t> in UK goods exports to EU &amp; non-EU</a:t>
            </a:r>
            <a:br>
              <a:rPr lang="en-AU" b="1" baseline="0"/>
            </a:br>
            <a:r>
              <a:rPr lang="en-AU" b="1" baseline="0"/>
              <a:t>1999 </a:t>
            </a:r>
            <a:r>
              <a:rPr lang="en-AU" b="1" baseline="0">
                <a:latin typeface="Calibri" panose="020F0502020204030204" pitchFamily="34" charset="0"/>
                <a:cs typeface="Calibri" panose="020F0502020204030204" pitchFamily="34" charset="0"/>
              </a:rPr>
              <a:t>– 2018 </a:t>
            </a:r>
            <a:r>
              <a:rPr lang="en-AU" sz="1400" b="1" i="0" u="none" strike="noStrike" baseline="0">
                <a:effectLst/>
              </a:rPr>
              <a:t> (2016 prices)</a:t>
            </a:r>
            <a:endParaRPr lang="en-AU" b="1"/>
          </a:p>
        </c:rich>
      </c:tx>
      <c:layout>
        <c:manualLayout>
          <c:xMode val="edge"/>
          <c:yMode val="edge"/>
          <c:x val="0.21650430084788888"/>
          <c:y val="2.75227406467347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958608197812587E-2"/>
          <c:y val="0.21690854821442498"/>
          <c:w val="0.91153985848274977"/>
          <c:h val="0.55620821428318223"/>
        </c:manualLayout>
      </c:layout>
      <c:barChart>
        <c:barDir val="col"/>
        <c:grouping val="clustered"/>
        <c:varyColors val="0"/>
        <c:ser>
          <c:idx val="0"/>
          <c:order val="0"/>
          <c:tx>
            <c:strRef>
              <c:f>'2. Trade in Goods'!$H$52</c:f>
              <c:strCache>
                <c:ptCount val="1"/>
                <c:pt idx="0">
                  <c:v> EU</c:v>
                </c:pt>
              </c:strCache>
            </c:strRef>
          </c:tx>
          <c:spPr>
            <a:solidFill>
              <a:srgbClr val="990000"/>
            </a:solidFill>
            <a:ln w="9525">
              <a:solidFill>
                <a:srgbClr val="990000"/>
              </a:solidFill>
            </a:ln>
            <a:effectLst/>
          </c:spPr>
          <c:invertIfNegative val="0"/>
          <c:dPt>
            <c:idx val="1"/>
            <c:invertIfNegative val="0"/>
            <c:bubble3D val="0"/>
            <c:spPr>
              <a:solidFill>
                <a:srgbClr val="990000"/>
              </a:solidFill>
              <a:ln w="6350">
                <a:solidFill>
                  <a:srgbClr val="000E2A"/>
                </a:solidFill>
              </a:ln>
              <a:effectLst/>
            </c:spPr>
            <c:extLst>
              <c:ext xmlns:c16="http://schemas.microsoft.com/office/drawing/2014/chart" uri="{C3380CC4-5D6E-409C-BE32-E72D297353CC}">
                <c16:uniqueId val="{00000003-4FE0-4747-9F84-68A04D525C2C}"/>
              </c:ext>
            </c:extLst>
          </c:dPt>
          <c:dLbls>
            <c:dLbl>
              <c:idx val="0"/>
              <c:layout>
                <c:manualLayout>
                  <c:x val="-2.3581870777661827E-3"/>
                  <c:y val="5.4988762611044547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1B-4858-AC5E-3F09C8095B8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Trade in Goods'!$G$53:$G$54</c:f>
              <c:strCache>
                <c:ptCount val="2"/>
                <c:pt idx="0">
                  <c:v>Exports</c:v>
                </c:pt>
                <c:pt idx="1">
                  <c:v>Imports</c:v>
                </c:pt>
              </c:strCache>
            </c:strRef>
          </c:cat>
          <c:val>
            <c:numRef>
              <c:f>'2. Trade in Goods'!$H$53:$H$54</c:f>
              <c:numCache>
                <c:formatCode>0.0%</c:formatCode>
                <c:ptCount val="2"/>
                <c:pt idx="0">
                  <c:v>5.4031224274000478E-2</c:v>
                </c:pt>
                <c:pt idx="1">
                  <c:v>0.65300701714921816</c:v>
                </c:pt>
              </c:numCache>
            </c:numRef>
          </c:val>
          <c:extLst>
            <c:ext xmlns:c16="http://schemas.microsoft.com/office/drawing/2014/chart" uri="{C3380CC4-5D6E-409C-BE32-E72D297353CC}">
              <c16:uniqueId val="{00000000-3E84-4EFD-A593-5C588269D6E1}"/>
            </c:ext>
          </c:extLst>
        </c:ser>
        <c:ser>
          <c:idx val="1"/>
          <c:order val="1"/>
          <c:tx>
            <c:strRef>
              <c:f>'2. Trade in Goods'!$I$52</c:f>
              <c:strCache>
                <c:ptCount val="1"/>
                <c:pt idx="0">
                  <c:v> Non-EU</c:v>
                </c:pt>
              </c:strCache>
            </c:strRef>
          </c:tx>
          <c:spPr>
            <a:solidFill>
              <a:srgbClr val="002060"/>
            </a:solidFill>
            <a:ln w="12700">
              <a:solidFill>
                <a:sysClr val="windowText" lastClr="000000"/>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Goods'!$G$53:$G$54</c:f>
              <c:strCache>
                <c:ptCount val="2"/>
                <c:pt idx="0">
                  <c:v>Exports</c:v>
                </c:pt>
                <c:pt idx="1">
                  <c:v>Imports</c:v>
                </c:pt>
              </c:strCache>
            </c:strRef>
          </c:cat>
          <c:val>
            <c:numRef>
              <c:f>'2. Trade in Goods'!$I$53:$I$54</c:f>
              <c:numCache>
                <c:formatCode>0.0%</c:formatCode>
                <c:ptCount val="2"/>
                <c:pt idx="0">
                  <c:v>0.70075131423350545</c:v>
                </c:pt>
                <c:pt idx="1">
                  <c:v>0.65790523176970561</c:v>
                </c:pt>
              </c:numCache>
            </c:numRef>
          </c:val>
          <c:extLst>
            <c:ext xmlns:c16="http://schemas.microsoft.com/office/drawing/2014/chart" uri="{C3380CC4-5D6E-409C-BE32-E72D297353CC}">
              <c16:uniqueId val="{00000001-3E84-4EFD-A593-5C588269D6E1}"/>
            </c:ext>
          </c:extLst>
        </c:ser>
        <c:dLbls>
          <c:dLblPos val="inEnd"/>
          <c:showLegendKey val="0"/>
          <c:showVal val="1"/>
          <c:showCatName val="0"/>
          <c:showSerName val="0"/>
          <c:showPercent val="0"/>
          <c:showBubbleSize val="0"/>
        </c:dLbls>
        <c:gapWidth val="219"/>
        <c:overlap val="-27"/>
        <c:axId val="586959376"/>
        <c:axId val="586961016"/>
      </c:barChart>
      <c:catAx>
        <c:axId val="586959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75000"/>
                    <a:lumOff val="25000"/>
                  </a:schemeClr>
                </a:solidFill>
                <a:latin typeface="+mn-lt"/>
                <a:ea typeface="+mn-ea"/>
                <a:cs typeface="+mn-cs"/>
              </a:defRPr>
            </a:pPr>
            <a:endParaRPr lang="en-US"/>
          </a:p>
        </c:txPr>
        <c:crossAx val="586961016"/>
        <c:crosses val="autoZero"/>
        <c:auto val="1"/>
        <c:lblAlgn val="ctr"/>
        <c:lblOffset val="100"/>
        <c:noMultiLvlLbl val="0"/>
      </c:catAx>
      <c:valAx>
        <c:axId val="58696101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8695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AU" b="1"/>
              <a:t>Growth of UK goods</a:t>
            </a:r>
            <a:r>
              <a:rPr lang="en-AU" b="1" baseline="0"/>
              <a:t> exports 1999 </a:t>
            </a:r>
            <a:r>
              <a:rPr lang="en-AU" sz="1400" b="1" i="0" u="none" strike="noStrike" baseline="0">
                <a:effectLst/>
              </a:rPr>
              <a:t>–</a:t>
            </a:r>
            <a:r>
              <a:rPr lang="en-AU" b="1" baseline="0"/>
              <a:t> 2018</a:t>
            </a:r>
          </a:p>
          <a:p>
            <a:pPr algn="ctr">
              <a:defRPr b="1"/>
            </a:pPr>
            <a:r>
              <a:rPr lang="en-AU" sz="1200" b="1" i="0" u="none" strike="noStrike" baseline="0">
                <a:effectLst/>
              </a:rPr>
              <a:t>(2016 prices)</a:t>
            </a:r>
            <a:endParaRPr lang="en-AU" sz="1200" b="1"/>
          </a:p>
        </c:rich>
      </c:tx>
      <c:layout>
        <c:manualLayout>
          <c:xMode val="edge"/>
          <c:yMode val="edge"/>
          <c:x val="0.14777687056498895"/>
          <c:y val="3.1746105210841431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815045097321721"/>
          <c:y val="0.19776938120212176"/>
          <c:w val="0.69144626171341605"/>
          <c:h val="0.62676742557453902"/>
        </c:manualLayout>
      </c:layout>
      <c:barChart>
        <c:barDir val="col"/>
        <c:grouping val="clustered"/>
        <c:varyColors val="0"/>
        <c:ser>
          <c:idx val="0"/>
          <c:order val="0"/>
          <c:tx>
            <c:strRef>
              <c:f>'2. Trade in Goods'!$A$53</c:f>
              <c:strCache>
                <c:ptCount val="1"/>
                <c:pt idx="0">
                  <c:v>EU</c:v>
                </c:pt>
              </c:strCache>
            </c:strRef>
          </c:tx>
          <c:spPr>
            <a:solidFill>
              <a:srgbClr val="990000"/>
            </a:solidFill>
            <a:ln w="6350">
              <a:solidFill>
                <a:srgbClr val="000E2A"/>
              </a:solidFill>
            </a:ln>
            <a:effectLst/>
          </c:spPr>
          <c:invertIfNegative val="0"/>
          <c:dPt>
            <c:idx val="0"/>
            <c:invertIfNegative val="0"/>
            <c:bubble3D val="0"/>
            <c:spPr>
              <a:solidFill>
                <a:srgbClr val="990000"/>
              </a:solidFill>
              <a:ln w="6350">
                <a:solidFill>
                  <a:srgbClr val="000E2A"/>
                </a:solidFill>
              </a:ln>
              <a:effectLst/>
            </c:spPr>
            <c:extLst>
              <c:ext xmlns:c16="http://schemas.microsoft.com/office/drawing/2014/chart" uri="{C3380CC4-5D6E-409C-BE32-E72D297353CC}">
                <c16:uniqueId val="{00000006-E661-431B-BFBD-7F607C569F8D}"/>
              </c:ext>
            </c:extLst>
          </c:dPt>
          <c:dPt>
            <c:idx val="1"/>
            <c:invertIfNegative val="0"/>
            <c:bubble3D val="0"/>
            <c:spPr>
              <a:solidFill>
                <a:srgbClr val="990000"/>
              </a:solidFill>
              <a:ln w="6350">
                <a:solidFill>
                  <a:srgbClr val="000E2A"/>
                </a:solidFill>
              </a:ln>
              <a:effectLst/>
            </c:spPr>
            <c:extLst>
              <c:ext xmlns:c16="http://schemas.microsoft.com/office/drawing/2014/chart" uri="{C3380CC4-5D6E-409C-BE32-E72D297353CC}">
                <c16:uniqueId val="{00000009-E661-431B-BFBD-7F607C569F8D}"/>
              </c:ext>
            </c:extLst>
          </c:dPt>
          <c:dLbls>
            <c:numFmt formatCode="[$£-809]#,##0" sourceLinked="0"/>
            <c:spPr>
              <a:noFill/>
              <a:ln>
                <a:noFill/>
              </a:ln>
              <a:effectLst/>
            </c:spPr>
            <c:txPr>
              <a:bodyPr rot="0" spcFirstLastPara="1" vertOverflow="clip" horzOverflow="clip" vert="horz" wrap="square" lIns="0" tIns="19050" rIns="38100" bIns="19050" anchor="ctr" anchorCtr="0">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'2. Trade in Goods'!$B$52:$C$52</c:f>
              <c:strCache>
                <c:ptCount val="2"/>
                <c:pt idx="0">
                  <c:v>Average Exports 1999-2001</c:v>
                </c:pt>
                <c:pt idx="1">
                  <c:v>Average Exports 2016-18</c:v>
                </c:pt>
              </c:strCache>
            </c:strRef>
          </c:cat>
          <c:val>
            <c:numRef>
              <c:f>'2. Trade in Goods'!$B$53:$C$53</c:f>
              <c:numCache>
                <c:formatCode>0.0</c:formatCode>
                <c:ptCount val="2"/>
                <c:pt idx="0">
                  <c:v>145.1163246474801</c:v>
                </c:pt>
                <c:pt idx="1">
                  <c:v>152.95713733032676</c:v>
                </c:pt>
              </c:numCache>
            </c:numRef>
          </c:val>
          <c:extLst>
            <c:ext xmlns:c16="http://schemas.microsoft.com/office/drawing/2014/chart" uri="{C3380CC4-5D6E-409C-BE32-E72D297353CC}">
              <c16:uniqueId val="{00000000-9535-4690-AC56-4D4BF872B739}"/>
            </c:ext>
          </c:extLst>
        </c:ser>
        <c:ser>
          <c:idx val="1"/>
          <c:order val="1"/>
          <c:tx>
            <c:strRef>
              <c:f>'2. Trade in Goods'!$A$54</c:f>
              <c:strCache>
                <c:ptCount val="1"/>
                <c:pt idx="0">
                  <c:v>Non-EU</c:v>
                </c:pt>
              </c:strCache>
            </c:strRef>
          </c:tx>
          <c:spPr>
            <a:solidFill>
              <a:srgbClr val="002060"/>
            </a:solidFill>
            <a:ln>
              <a:solidFill>
                <a:schemeClr val="tx1"/>
              </a:solidFill>
            </a:ln>
            <a:effectLst/>
          </c:spPr>
          <c:invertIfNegative val="0"/>
          <c:dPt>
            <c:idx val="0"/>
            <c:invertIfNegative val="0"/>
            <c:bubble3D val="0"/>
            <c:spPr>
              <a:solidFill>
                <a:srgbClr val="002060"/>
              </a:solidFill>
              <a:ln w="12700">
                <a:solidFill>
                  <a:schemeClr val="tx1"/>
                </a:solidFill>
              </a:ln>
              <a:effectLst/>
            </c:spPr>
            <c:extLst>
              <c:ext xmlns:c16="http://schemas.microsoft.com/office/drawing/2014/chart" uri="{C3380CC4-5D6E-409C-BE32-E72D297353CC}">
                <c16:uniqueId val="{0000000B-E661-431B-BFBD-7F607C569F8D}"/>
              </c:ext>
            </c:extLst>
          </c:dPt>
          <c:dLbls>
            <c:numFmt formatCode="_-[$£-809]* #,##0_-;\-[$£-809]* #,##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Goods'!$B$52:$C$52</c:f>
              <c:strCache>
                <c:ptCount val="2"/>
                <c:pt idx="0">
                  <c:v>Average Exports 1999-2001</c:v>
                </c:pt>
                <c:pt idx="1">
                  <c:v>Average Exports 2016-18</c:v>
                </c:pt>
              </c:strCache>
            </c:strRef>
          </c:cat>
          <c:val>
            <c:numRef>
              <c:f>'2. Trade in Goods'!$B$54:$C$54</c:f>
              <c:numCache>
                <c:formatCode>0.0</c:formatCode>
                <c:ptCount val="2"/>
                <c:pt idx="0">
                  <c:v>95.720716592937535</c:v>
                </c:pt>
                <c:pt idx="1">
                  <c:v>162.79713454481143</c:v>
                </c:pt>
              </c:numCache>
            </c:numRef>
          </c:val>
          <c:extLst>
            <c:ext xmlns:c16="http://schemas.microsoft.com/office/drawing/2014/chart" uri="{C3380CC4-5D6E-409C-BE32-E72D297353CC}">
              <c16:uniqueId val="{00000001-9535-4690-AC56-4D4BF872B739}"/>
            </c:ext>
          </c:extLst>
        </c:ser>
        <c:dLbls>
          <c:dLblPos val="inEnd"/>
          <c:showLegendKey val="0"/>
          <c:showVal val="1"/>
          <c:showCatName val="0"/>
          <c:showSerName val="0"/>
          <c:showPercent val="0"/>
          <c:showBubbleSize val="0"/>
        </c:dLbls>
        <c:gapWidth val="57"/>
        <c:overlap val="-25"/>
        <c:axId val="672123632"/>
        <c:axId val="672122320"/>
      </c:barChart>
      <c:catAx>
        <c:axId val="6721236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672122320"/>
        <c:crosses val="autoZero"/>
        <c:auto val="1"/>
        <c:lblAlgn val="ctr"/>
        <c:lblOffset val="100"/>
        <c:noMultiLvlLbl val="0"/>
      </c:catAx>
      <c:valAx>
        <c:axId val="672122320"/>
        <c:scaling>
          <c:orientation val="minMax"/>
          <c:max val="1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AU" sz="1100" b="1"/>
                  <a:t>£ billion</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721236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AU" sz="1400" b="1" i="0" u="none" strike="noStrike" kern="1200" spc="0" baseline="0">
                <a:solidFill>
                  <a:schemeClr val="tx1">
                    <a:lumMod val="75000"/>
                    <a:lumOff val="25000"/>
                  </a:schemeClr>
                </a:solidFill>
                <a:latin typeface="+mn-lt"/>
                <a:ea typeface="+mn-ea"/>
                <a:cs typeface="+mn-cs"/>
              </a:defRPr>
            </a:pPr>
            <a:r>
              <a:rPr lang="en-AU" sz="1400" b="1" i="0" u="none" strike="noStrike" kern="1200" spc="0" baseline="0">
                <a:solidFill>
                  <a:schemeClr val="tx1">
                    <a:lumMod val="75000"/>
                    <a:lumOff val="25000"/>
                  </a:schemeClr>
                </a:solidFill>
                <a:latin typeface="+mn-lt"/>
                <a:ea typeface="+mn-ea"/>
                <a:cs typeface="+mn-cs"/>
              </a:rPr>
              <a:t>Change in EU's share of UK trade in goods</a:t>
            </a:r>
          </a:p>
        </c:rich>
      </c:tx>
      <c:overlay val="0"/>
      <c:spPr>
        <a:noFill/>
        <a:ln>
          <a:noFill/>
        </a:ln>
        <a:effectLst/>
      </c:spPr>
      <c:txPr>
        <a:bodyPr rot="0" spcFirstLastPara="1" vertOverflow="ellipsis" vert="horz" wrap="square" anchor="ctr" anchorCtr="1"/>
        <a:lstStyle/>
        <a:p>
          <a:pPr algn="ctr" rtl="0">
            <a:defRPr lang="en-AU"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8.0346603870777841E-2"/>
          <c:y val="0.13588235294117648"/>
          <c:w val="0.89395246154978292"/>
          <c:h val="0.63092584015233388"/>
        </c:manualLayout>
      </c:layout>
      <c:barChart>
        <c:barDir val="col"/>
        <c:grouping val="clustered"/>
        <c:varyColors val="0"/>
        <c:ser>
          <c:idx val="0"/>
          <c:order val="0"/>
          <c:tx>
            <c:strRef>
              <c:f>'2. Trade in Goods'!$B$84</c:f>
              <c:strCache>
                <c:ptCount val="1"/>
                <c:pt idx="0">
                  <c:v>1998</c:v>
                </c:pt>
              </c:strCache>
            </c:strRef>
          </c:tx>
          <c:spPr>
            <a:solidFill>
              <a:srgbClr val="990000"/>
            </a:solidFill>
            <a:ln w="6350">
              <a:solidFill>
                <a:srgbClr val="990000"/>
              </a:solidFill>
            </a:ln>
            <a:effectLst/>
          </c:spPr>
          <c:invertIfNegative val="0"/>
          <c:dPt>
            <c:idx val="0"/>
            <c:invertIfNegative val="0"/>
            <c:bubble3D val="0"/>
            <c:spPr>
              <a:solidFill>
                <a:srgbClr val="990000"/>
              </a:solidFill>
              <a:ln w="6350">
                <a:solidFill>
                  <a:srgbClr val="990000"/>
                </a:solidFill>
              </a:ln>
              <a:effectLst/>
            </c:spPr>
            <c:extLst>
              <c:ext xmlns:c16="http://schemas.microsoft.com/office/drawing/2014/chart" uri="{C3380CC4-5D6E-409C-BE32-E72D297353CC}">
                <c16:uniqueId val="{00000007-22A1-42A8-B018-957296E12E56}"/>
              </c:ext>
            </c:extLst>
          </c:dPt>
          <c:dLbls>
            <c:spPr>
              <a:noFill/>
              <a:ln>
                <a:noFill/>
              </a:ln>
              <a:effectLst/>
            </c:spPr>
            <c:txPr>
              <a:bodyPr rot="0" spcFirstLastPara="1" vertOverflow="ellipsis" vert="horz" wrap="square" anchor="ctr" anchorCtr="0"/>
              <a:lstStyle/>
              <a:p>
                <a:pPr algn="ctr">
                  <a:defRPr lang="en-AU"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Goods'!$A$85:$A$86</c:f>
              <c:strCache>
                <c:ptCount val="2"/>
                <c:pt idx="0">
                  <c:v>Exports</c:v>
                </c:pt>
                <c:pt idx="1">
                  <c:v>Imports</c:v>
                </c:pt>
              </c:strCache>
            </c:strRef>
          </c:cat>
          <c:val>
            <c:numRef>
              <c:f>'2. Trade in Goods'!$B$85:$B$86</c:f>
              <c:numCache>
                <c:formatCode>0.0%</c:formatCode>
                <c:ptCount val="2"/>
                <c:pt idx="0">
                  <c:v>0.60254985653397264</c:v>
                </c:pt>
                <c:pt idx="1">
                  <c:v>0.54623251445197463</c:v>
                </c:pt>
              </c:numCache>
            </c:numRef>
          </c:val>
          <c:extLst>
            <c:ext xmlns:c16="http://schemas.microsoft.com/office/drawing/2014/chart" uri="{C3380CC4-5D6E-409C-BE32-E72D297353CC}">
              <c16:uniqueId val="{00000000-22A1-42A8-B018-957296E12E56}"/>
            </c:ext>
          </c:extLst>
        </c:ser>
        <c:ser>
          <c:idx val="1"/>
          <c:order val="1"/>
          <c:tx>
            <c:strRef>
              <c:f>'2. Trade in Goods'!$C$84</c:f>
              <c:strCache>
                <c:ptCount val="1"/>
                <c:pt idx="0">
                  <c:v>2018</c:v>
                </c:pt>
              </c:strCache>
            </c:strRef>
          </c:tx>
          <c:spPr>
            <a:solidFill>
              <a:srgbClr val="002060"/>
            </a:solidFill>
            <a:ln w="9525">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Goods'!$A$85:$A$86</c:f>
              <c:strCache>
                <c:ptCount val="2"/>
                <c:pt idx="0">
                  <c:v>Exports</c:v>
                </c:pt>
                <c:pt idx="1">
                  <c:v>Imports</c:v>
                </c:pt>
              </c:strCache>
            </c:strRef>
          </c:cat>
          <c:val>
            <c:numRef>
              <c:f>'2. Trade in Goods'!$C$85:$C$86</c:f>
              <c:numCache>
                <c:formatCode>0.0%</c:formatCode>
                <c:ptCount val="2"/>
                <c:pt idx="0">
                  <c:v>0.48441826747735051</c:v>
                </c:pt>
                <c:pt idx="1">
                  <c:v>0.54549903074723272</c:v>
                </c:pt>
              </c:numCache>
            </c:numRef>
          </c:val>
          <c:extLst>
            <c:ext xmlns:c16="http://schemas.microsoft.com/office/drawing/2014/chart" uri="{C3380CC4-5D6E-409C-BE32-E72D297353CC}">
              <c16:uniqueId val="{00000001-22A1-42A8-B018-957296E12E56}"/>
            </c:ext>
          </c:extLst>
        </c:ser>
        <c:dLbls>
          <c:dLblPos val="inEnd"/>
          <c:showLegendKey val="0"/>
          <c:showVal val="1"/>
          <c:showCatName val="0"/>
          <c:showSerName val="0"/>
          <c:showPercent val="0"/>
          <c:showBubbleSize val="0"/>
        </c:dLbls>
        <c:gapWidth val="219"/>
        <c:overlap val="-27"/>
        <c:axId val="608408488"/>
        <c:axId val="608408816"/>
      </c:barChart>
      <c:catAx>
        <c:axId val="608408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608408816"/>
        <c:crosses val="autoZero"/>
        <c:auto val="1"/>
        <c:lblAlgn val="ctr"/>
        <c:lblOffset val="100"/>
        <c:noMultiLvlLbl val="0"/>
      </c:catAx>
      <c:valAx>
        <c:axId val="608408816"/>
        <c:scaling>
          <c:orientation val="minMax"/>
          <c:max val="0.7500000000000001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08408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5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AU" b="1">
                <a:solidFill>
                  <a:schemeClr val="tx1">
                    <a:lumMod val="85000"/>
                    <a:lumOff val="15000"/>
                  </a:schemeClr>
                </a:solidFill>
              </a:rPr>
              <a:t>UK balance of trade in</a:t>
            </a:r>
            <a:r>
              <a:rPr lang="en-AU" b="1" baseline="0">
                <a:solidFill>
                  <a:schemeClr val="tx1">
                    <a:lumMod val="85000"/>
                    <a:lumOff val="15000"/>
                  </a:schemeClr>
                </a:solidFill>
              </a:rPr>
              <a:t> goods &amp; services</a:t>
            </a:r>
            <a:r>
              <a:rPr lang="en-AU" b="1">
                <a:solidFill>
                  <a:schemeClr val="tx1">
                    <a:lumMod val="85000"/>
                    <a:lumOff val="15000"/>
                  </a:schemeClr>
                </a:solidFill>
              </a:rPr>
              <a:t> with EU and non-EU countries</a:t>
            </a:r>
            <a:r>
              <a:rPr lang="en-AU" b="1" baseline="0">
                <a:solidFill>
                  <a:schemeClr val="tx1">
                    <a:lumMod val="85000"/>
                    <a:lumOff val="15000"/>
                  </a:schemeClr>
                </a:solidFill>
              </a:rPr>
              <a:t>: 2018</a:t>
            </a:r>
            <a:r>
              <a:rPr lang="en-AU" b="1">
                <a:solidFill>
                  <a:schemeClr val="tx1">
                    <a:lumMod val="85000"/>
                    <a:lumOff val="15000"/>
                  </a:schemeClr>
                </a:solidFill>
              </a:rPr>
              <a: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0.1191673218850538"/>
          <c:y val="0.24127491639511447"/>
          <c:w val="0.82698047513866513"/>
          <c:h val="0.47707998135577112"/>
        </c:manualLayout>
      </c:layout>
      <c:barChart>
        <c:barDir val="bar"/>
        <c:grouping val="stacked"/>
        <c:varyColors val="0"/>
        <c:ser>
          <c:idx val="0"/>
          <c:order val="0"/>
          <c:tx>
            <c:strRef>
              <c:f>'1. All Trade'!$F$8</c:f>
              <c:strCache>
                <c:ptCount val="1"/>
                <c:pt idx="0">
                  <c:v>Goods balance (£bn)</c:v>
                </c:pt>
              </c:strCache>
            </c:strRef>
          </c:tx>
          <c:spPr>
            <a:solidFill>
              <a:srgbClr val="C00000"/>
            </a:solidFill>
            <a:ln w="12700">
              <a:solidFill>
                <a:srgbClr val="990000"/>
              </a:solidFill>
            </a:ln>
            <a:effectLst/>
          </c:spPr>
          <c:invertIfNegative val="0"/>
          <c:dLbls>
            <c:dLbl>
              <c:idx val="0"/>
              <c:tx>
                <c:rich>
                  <a:bodyPr/>
                  <a:lstStyle/>
                  <a:p>
                    <a:fld id="{2133B6D8-CCF9-4CA0-B2FD-4C8CD802A6E0}" type="VALUE">
                      <a:rPr lang="en-US"/>
                      <a:pPr/>
                      <a:t>[VALUE]</a:t>
                    </a:fld>
                    <a:r>
                      <a:rPr lang="en-US"/>
                      <a:t> bn</a:t>
                    </a:r>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72C-45E2-9130-0214909A1C56}"/>
                </c:ext>
              </c:extLst>
            </c:dLbl>
            <c:dLbl>
              <c:idx val="1"/>
              <c:tx>
                <c:rich>
                  <a:bodyPr/>
                  <a:lstStyle/>
                  <a:p>
                    <a:fld id="{444EAB32-007A-4A06-AD19-2E551F7D4F56}" type="VALUE">
                      <a:rPr lang="en-US"/>
                      <a:pPr/>
                      <a:t>[VALUE]</a:t>
                    </a:fld>
                    <a:r>
                      <a:rPr lang="en-US"/>
                      <a:t> bn</a:t>
                    </a:r>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72C-45E2-9130-0214909A1C56}"/>
                </c:ext>
              </c:extLst>
            </c:dLbl>
            <c:numFmt formatCode="[$£-809]#,##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Trade'!$G$7:$H$7</c:f>
              <c:strCache>
                <c:ptCount val="2"/>
                <c:pt idx="0">
                  <c:v>EU</c:v>
                </c:pt>
                <c:pt idx="1">
                  <c:v>Non-EU</c:v>
                </c:pt>
              </c:strCache>
            </c:strRef>
          </c:cat>
          <c:val>
            <c:numRef>
              <c:f>'1. All Trade'!$G$8:$H$8</c:f>
              <c:numCache>
                <c:formatCode>_-[$£-809]* #,##0.0_-;\-[$£-809]* #,##0.0_-;_-[$£-809]* "-"??_-;_-@_-</c:formatCode>
                <c:ptCount val="2"/>
                <c:pt idx="0">
                  <c:v>-93.451999999999998</c:v>
                </c:pt>
                <c:pt idx="1">
                  <c:v>-44.640999999999998</c:v>
                </c:pt>
              </c:numCache>
            </c:numRef>
          </c:val>
          <c:extLst>
            <c:ext xmlns:c16="http://schemas.microsoft.com/office/drawing/2014/chart" uri="{C3380CC4-5D6E-409C-BE32-E72D297353CC}">
              <c16:uniqueId val="{00000000-F72C-45E2-9130-0214909A1C56}"/>
            </c:ext>
          </c:extLst>
        </c:ser>
        <c:ser>
          <c:idx val="1"/>
          <c:order val="1"/>
          <c:tx>
            <c:strRef>
              <c:f>'1. All Trade'!$F$9</c:f>
              <c:strCache>
                <c:ptCount val="1"/>
                <c:pt idx="0">
                  <c:v>Services balance (£bn)</c:v>
                </c:pt>
              </c:strCache>
            </c:strRef>
          </c:tx>
          <c:spPr>
            <a:solidFill>
              <a:srgbClr val="002060"/>
            </a:solidFill>
            <a:ln w="12700">
              <a:solidFill>
                <a:sysClr val="windowText" lastClr="000000"/>
              </a:solidFill>
            </a:ln>
            <a:effectLst/>
          </c:spPr>
          <c:invertIfNegative val="0"/>
          <c:dPt>
            <c:idx val="0"/>
            <c:invertIfNegative val="0"/>
            <c:bubble3D val="0"/>
            <c:spPr>
              <a:solidFill>
                <a:srgbClr val="002060"/>
              </a:solidFill>
              <a:ln w="12700">
                <a:solidFill>
                  <a:sysClr val="windowText" lastClr="000000"/>
                </a:solidFill>
              </a:ln>
              <a:effectLst/>
            </c:spPr>
            <c:extLst>
              <c:ext xmlns:c16="http://schemas.microsoft.com/office/drawing/2014/chart" uri="{C3380CC4-5D6E-409C-BE32-E72D297353CC}">
                <c16:uniqueId val="{00000005-F72C-45E2-9130-0214909A1C56}"/>
              </c:ext>
            </c:extLst>
          </c:dPt>
          <c:dPt>
            <c:idx val="1"/>
            <c:invertIfNegative val="0"/>
            <c:bubble3D val="0"/>
            <c:spPr>
              <a:solidFill>
                <a:srgbClr val="002060"/>
              </a:solidFill>
              <a:ln w="12700">
                <a:solidFill>
                  <a:sysClr val="windowText" lastClr="000000"/>
                </a:solidFill>
              </a:ln>
              <a:effectLst/>
            </c:spPr>
            <c:extLst>
              <c:ext xmlns:c16="http://schemas.microsoft.com/office/drawing/2014/chart" uri="{C3380CC4-5D6E-409C-BE32-E72D297353CC}">
                <c16:uniqueId val="{00000004-F72C-45E2-9130-0214909A1C56}"/>
              </c:ext>
            </c:extLst>
          </c:dPt>
          <c:dLbls>
            <c:dLbl>
              <c:idx val="0"/>
              <c:layout>
                <c:manualLayout>
                  <c:x val="7.7935332735581009E-4"/>
                  <c:y val="-9.5784373509014853E-17"/>
                </c:manualLayout>
              </c:layout>
              <c:tx>
                <c:rich>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fld id="{CE568FA7-1131-47E2-8743-EEC5B15150B7}" type="VALUE">
                      <a:rPr lang="en-US"/>
                      <a:pPr>
                        <a:defRPr sz="1050" b="1">
                          <a:solidFill>
                            <a:schemeClr val="bg1"/>
                          </a:solidFill>
                        </a:defRPr>
                      </a:pPr>
                      <a:t>[VALUE]</a:t>
                    </a:fld>
                    <a:r>
                      <a:rPr lang="en-US"/>
                      <a:t> bn</a:t>
                    </a:r>
                  </a:p>
                </c:rich>
              </c:tx>
              <c:numFmt formatCode="[$£-809]#,##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F72C-45E2-9130-0214909A1C56}"/>
                </c:ext>
              </c:extLst>
            </c:dLbl>
            <c:dLbl>
              <c:idx val="1"/>
              <c:layout>
                <c:manualLayout>
                  <c:x val="0.12218909511686941"/>
                  <c:y val="0"/>
                </c:manualLayout>
              </c:layout>
              <c:tx>
                <c:rich>
                  <a:bodyPr/>
                  <a:lstStyle/>
                  <a:p>
                    <a:r>
                      <a:rPr lang="en-US"/>
                      <a:t>£</a:t>
                    </a:r>
                    <a:fld id="{D8FBB885-DACE-44DA-A6C2-7A753A18AFEC}" type="VALUE">
                      <a:rPr lang="en-US"/>
                      <a:pPr/>
                      <a:t>[VALUE]</a:t>
                    </a:fld>
                    <a:r>
                      <a:rPr lang="en-US"/>
                      <a:t> 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F72C-45E2-9130-0214909A1C56}"/>
                </c:ext>
              </c:extLst>
            </c:dLbl>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Trade'!$G$7:$H$7</c:f>
              <c:strCache>
                <c:ptCount val="2"/>
                <c:pt idx="0">
                  <c:v>EU</c:v>
                </c:pt>
                <c:pt idx="1">
                  <c:v>Non-EU</c:v>
                </c:pt>
              </c:strCache>
            </c:strRef>
          </c:cat>
          <c:val>
            <c:numRef>
              <c:f>'1. All Trade'!$G$9:$H$9</c:f>
              <c:numCache>
                <c:formatCode>_-[$£-809]* #,##0.0_-;\-[$£-809]* #,##0.0_-;_-[$£-809]* "-"??_-;_-@_-</c:formatCode>
                <c:ptCount val="2"/>
                <c:pt idx="0">
                  <c:v>29.403999999999996</c:v>
                </c:pt>
                <c:pt idx="1">
                  <c:v>77.720000000000013</c:v>
                </c:pt>
              </c:numCache>
            </c:numRef>
          </c:val>
          <c:extLst>
            <c:ext xmlns:c16="http://schemas.microsoft.com/office/drawing/2014/chart" uri="{C3380CC4-5D6E-409C-BE32-E72D297353CC}">
              <c16:uniqueId val="{00000001-F72C-45E2-9130-0214909A1C56}"/>
            </c:ext>
          </c:extLst>
        </c:ser>
        <c:dLbls>
          <c:dLblPos val="inBase"/>
          <c:showLegendKey val="0"/>
          <c:showVal val="1"/>
          <c:showCatName val="0"/>
          <c:showSerName val="0"/>
          <c:showPercent val="0"/>
          <c:showBubbleSize val="0"/>
        </c:dLbls>
        <c:gapWidth val="90"/>
        <c:overlap val="100"/>
        <c:axId val="611845080"/>
        <c:axId val="611839832"/>
      </c:barChart>
      <c:catAx>
        <c:axId val="61184508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bg2">
                    <a:lumMod val="25000"/>
                  </a:schemeClr>
                </a:solidFill>
                <a:latin typeface="+mn-lt"/>
                <a:ea typeface="+mn-ea"/>
                <a:cs typeface="+mn-cs"/>
              </a:defRPr>
            </a:pPr>
            <a:endParaRPr lang="en-US"/>
          </a:p>
        </c:txPr>
        <c:crossAx val="611839832"/>
        <c:crosses val="autoZero"/>
        <c:auto val="1"/>
        <c:lblAlgn val="ctr"/>
        <c:lblOffset val="100"/>
        <c:noMultiLvlLbl val="0"/>
      </c:catAx>
      <c:valAx>
        <c:axId val="611839832"/>
        <c:scaling>
          <c:orientation val="minMax"/>
          <c:max val="85"/>
          <c:min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bg2">
                        <a:lumMod val="25000"/>
                      </a:schemeClr>
                    </a:solidFill>
                    <a:latin typeface="+mn-lt"/>
                    <a:ea typeface="+mn-ea"/>
                    <a:cs typeface="+mn-cs"/>
                  </a:defRPr>
                </a:pPr>
                <a:r>
                  <a:rPr lang="en-AU" b="1">
                    <a:solidFill>
                      <a:schemeClr val="bg2">
                        <a:lumMod val="25000"/>
                      </a:schemeClr>
                    </a:solidFill>
                  </a:rPr>
                  <a:t>£ billion</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bg2">
                      <a:lumMod val="25000"/>
                    </a:schemeClr>
                  </a:solidFill>
                  <a:latin typeface="+mn-lt"/>
                  <a:ea typeface="+mn-ea"/>
                  <a:cs typeface="+mn-cs"/>
                </a:defRPr>
              </a:pPr>
              <a:endParaRPr lang="en-US"/>
            </a:p>
          </c:txPr>
        </c:title>
        <c:numFmt formatCode="_-[$£-809]* #,##0_-;\-[$£-809]* #,##0_-;_-[$£-809]* &quot;-&quot;_-;_-@_-"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85000"/>
                    <a:lumOff val="15000"/>
                  </a:schemeClr>
                </a:solidFill>
                <a:latin typeface="+mn-lt"/>
                <a:ea typeface="+mn-ea"/>
                <a:cs typeface="+mn-cs"/>
              </a:defRPr>
            </a:pPr>
            <a:endParaRPr lang="en-US"/>
          </a:p>
        </c:txPr>
        <c:crossAx val="611845080"/>
        <c:crosses val="autoZero"/>
        <c:crossBetween val="between"/>
        <c:majorUnit val="20"/>
      </c:valAx>
      <c:spPr>
        <a:noFill/>
        <a:ln>
          <a:noFill/>
        </a:ln>
        <a:effectLst/>
      </c:spPr>
    </c:plotArea>
    <c:legend>
      <c:legendPos val="b"/>
      <c:layout>
        <c:manualLayout>
          <c:xMode val="edge"/>
          <c:yMode val="edge"/>
          <c:x val="0.16020887222671698"/>
          <c:y val="0.88242658012102293"/>
          <c:w val="0.6940540355755096"/>
          <c:h val="0.10712409478607475"/>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AU" b="1">
                <a:solidFill>
                  <a:schemeClr val="tx1">
                    <a:lumMod val="85000"/>
                    <a:lumOff val="15000"/>
                  </a:schemeClr>
                </a:solidFill>
              </a:rPr>
              <a:t>Export/import</a:t>
            </a:r>
            <a:r>
              <a:rPr lang="en-AU" b="1" baseline="0">
                <a:solidFill>
                  <a:schemeClr val="tx1">
                    <a:lumMod val="85000"/>
                    <a:lumOff val="15000"/>
                  </a:schemeClr>
                </a:solidFill>
              </a:rPr>
              <a:t> ratios for principal EU economies: 2006 </a:t>
            </a:r>
            <a:r>
              <a:rPr lang="en-AU" b="1" baseline="0">
                <a:solidFill>
                  <a:schemeClr val="tx1">
                    <a:lumMod val="85000"/>
                    <a:lumOff val="15000"/>
                  </a:schemeClr>
                </a:solidFill>
                <a:latin typeface="Calibri" panose="020F0502020204030204" pitchFamily="34" charset="0"/>
                <a:cs typeface="Calibri" panose="020F0502020204030204" pitchFamily="34" charset="0"/>
              </a:rPr>
              <a:t>‒ 2015</a:t>
            </a:r>
            <a:endParaRPr lang="en-AU" b="1">
              <a:solidFill>
                <a:schemeClr val="tx1">
                  <a:lumMod val="85000"/>
                  <a:lumOff val="15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lineChart>
        <c:grouping val="standard"/>
        <c:varyColors val="0"/>
        <c:ser>
          <c:idx val="0"/>
          <c:order val="0"/>
          <c:tx>
            <c:strRef>
              <c:f>'2. Trade in Goods'!$A$152</c:f>
              <c:strCache>
                <c:ptCount val="1"/>
                <c:pt idx="0">
                  <c:v>UK</c:v>
                </c:pt>
              </c:strCache>
            </c:strRef>
          </c:tx>
          <c:spPr>
            <a:ln w="28575" cap="rnd">
              <a:solidFill>
                <a:srgbClr val="990000"/>
              </a:solidFill>
              <a:round/>
            </a:ln>
            <a:effectLst/>
          </c:spPr>
          <c:marker>
            <c:symbol val="none"/>
          </c:marker>
          <c:cat>
            <c:numRef>
              <c:f>'2. Trade in Goods'!$B$151:$K$151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 Trade in Goods'!$B$152:$K$152</c:f>
              <c:numCache>
                <c:formatCode>General</c:formatCode>
                <c:ptCount val="10"/>
                <c:pt idx="0">
                  <c:v>82</c:v>
                </c:pt>
                <c:pt idx="1">
                  <c:v>75</c:v>
                </c:pt>
                <c:pt idx="2">
                  <c:v>78</c:v>
                </c:pt>
                <c:pt idx="3">
                  <c:v>76</c:v>
                </c:pt>
                <c:pt idx="4">
                  <c:v>76</c:v>
                </c:pt>
                <c:pt idx="5">
                  <c:v>78</c:v>
                </c:pt>
                <c:pt idx="6">
                  <c:v>72</c:v>
                </c:pt>
                <c:pt idx="7">
                  <c:v>69</c:v>
                </c:pt>
                <c:pt idx="8">
                  <c:v>66</c:v>
                </c:pt>
                <c:pt idx="9">
                  <c:v>61</c:v>
                </c:pt>
              </c:numCache>
            </c:numRef>
          </c:val>
          <c:smooth val="0"/>
          <c:extLst>
            <c:ext xmlns:c16="http://schemas.microsoft.com/office/drawing/2014/chart" uri="{C3380CC4-5D6E-409C-BE32-E72D297353CC}">
              <c16:uniqueId val="{00000000-5325-439A-AA03-C65E9BDE02B7}"/>
            </c:ext>
          </c:extLst>
        </c:ser>
        <c:ser>
          <c:idx val="1"/>
          <c:order val="1"/>
          <c:tx>
            <c:strRef>
              <c:f>'2. Trade in Goods'!$A$153</c:f>
              <c:strCache>
                <c:ptCount val="1"/>
                <c:pt idx="0">
                  <c:v>Germany</c:v>
                </c:pt>
              </c:strCache>
            </c:strRef>
          </c:tx>
          <c:spPr>
            <a:ln w="28575" cap="rnd">
              <a:solidFill>
                <a:srgbClr val="002060"/>
              </a:solidFill>
              <a:round/>
            </a:ln>
            <a:effectLst/>
          </c:spPr>
          <c:marker>
            <c:symbol val="none"/>
          </c:marker>
          <c:cat>
            <c:numRef>
              <c:f>'2. Trade in Goods'!$B$151:$K$151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 Trade in Goods'!$B$153:$K$153</c:f>
              <c:numCache>
                <c:formatCode>General</c:formatCode>
                <c:ptCount val="10"/>
                <c:pt idx="0">
                  <c:v>122</c:v>
                </c:pt>
                <c:pt idx="1">
                  <c:v>126</c:v>
                </c:pt>
                <c:pt idx="2">
                  <c:v>122</c:v>
                </c:pt>
                <c:pt idx="3">
                  <c:v>117</c:v>
                </c:pt>
                <c:pt idx="4">
                  <c:v>114</c:v>
                </c:pt>
                <c:pt idx="5">
                  <c:v>110</c:v>
                </c:pt>
                <c:pt idx="6">
                  <c:v>108</c:v>
                </c:pt>
                <c:pt idx="7">
                  <c:v>108</c:v>
                </c:pt>
                <c:pt idx="8">
                  <c:v>109</c:v>
                </c:pt>
                <c:pt idx="9">
                  <c:v>112</c:v>
                </c:pt>
              </c:numCache>
            </c:numRef>
          </c:val>
          <c:smooth val="0"/>
          <c:extLst>
            <c:ext xmlns:c16="http://schemas.microsoft.com/office/drawing/2014/chart" uri="{C3380CC4-5D6E-409C-BE32-E72D297353CC}">
              <c16:uniqueId val="{00000001-5325-439A-AA03-C65E9BDE02B7}"/>
            </c:ext>
          </c:extLst>
        </c:ser>
        <c:ser>
          <c:idx val="2"/>
          <c:order val="2"/>
          <c:tx>
            <c:strRef>
              <c:f>'2. Trade in Goods'!$A$154</c:f>
              <c:strCache>
                <c:ptCount val="1"/>
                <c:pt idx="0">
                  <c:v>France</c:v>
                </c:pt>
              </c:strCache>
            </c:strRef>
          </c:tx>
          <c:spPr>
            <a:ln w="28575" cap="rnd">
              <a:solidFill>
                <a:schemeClr val="accent6">
                  <a:lumMod val="50000"/>
                </a:schemeClr>
              </a:solidFill>
              <a:round/>
            </a:ln>
            <a:effectLst/>
          </c:spPr>
          <c:marker>
            <c:symbol val="none"/>
          </c:marker>
          <c:cat>
            <c:numRef>
              <c:f>'2. Trade in Goods'!$B$151:$K$151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 Trade in Goods'!$B$154:$K$154</c:f>
              <c:numCache>
                <c:formatCode>General</c:formatCode>
                <c:ptCount val="10"/>
                <c:pt idx="0">
                  <c:v>87</c:v>
                </c:pt>
                <c:pt idx="1">
                  <c:v>84</c:v>
                </c:pt>
                <c:pt idx="2">
                  <c:v>81</c:v>
                </c:pt>
                <c:pt idx="3">
                  <c:v>78</c:v>
                </c:pt>
                <c:pt idx="4">
                  <c:v>76</c:v>
                </c:pt>
                <c:pt idx="5">
                  <c:v>75</c:v>
                </c:pt>
                <c:pt idx="6">
                  <c:v>74</c:v>
                </c:pt>
                <c:pt idx="7">
                  <c:v>75</c:v>
                </c:pt>
                <c:pt idx="8">
                  <c:v>76</c:v>
                </c:pt>
                <c:pt idx="9">
                  <c:v>76</c:v>
                </c:pt>
              </c:numCache>
            </c:numRef>
          </c:val>
          <c:smooth val="0"/>
          <c:extLst>
            <c:ext xmlns:c16="http://schemas.microsoft.com/office/drawing/2014/chart" uri="{C3380CC4-5D6E-409C-BE32-E72D297353CC}">
              <c16:uniqueId val="{00000002-5325-439A-AA03-C65E9BDE02B7}"/>
            </c:ext>
          </c:extLst>
        </c:ser>
        <c:ser>
          <c:idx val="3"/>
          <c:order val="3"/>
          <c:tx>
            <c:strRef>
              <c:f>'2. Trade in Goods'!$A$155</c:f>
              <c:strCache>
                <c:ptCount val="1"/>
                <c:pt idx="0">
                  <c:v>Italy </c:v>
                </c:pt>
              </c:strCache>
            </c:strRef>
          </c:tx>
          <c:spPr>
            <a:ln w="28575" cap="rnd">
              <a:solidFill>
                <a:schemeClr val="accent1"/>
              </a:solidFill>
              <a:round/>
            </a:ln>
            <a:effectLst/>
          </c:spPr>
          <c:marker>
            <c:symbol val="none"/>
          </c:marker>
          <c:cat>
            <c:numRef>
              <c:f>'2. Trade in Goods'!$B$151:$K$151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 Trade in Goods'!$B$155:$K$155</c:f>
              <c:numCache>
                <c:formatCode>General</c:formatCode>
                <c:ptCount val="10"/>
                <c:pt idx="0">
                  <c:v>101</c:v>
                </c:pt>
                <c:pt idx="1">
                  <c:v>104</c:v>
                </c:pt>
                <c:pt idx="2">
                  <c:v>105</c:v>
                </c:pt>
                <c:pt idx="3">
                  <c:v>99</c:v>
                </c:pt>
                <c:pt idx="4">
                  <c:v>96</c:v>
                </c:pt>
                <c:pt idx="5">
                  <c:v>98</c:v>
                </c:pt>
                <c:pt idx="6">
                  <c:v>105</c:v>
                </c:pt>
                <c:pt idx="7">
                  <c:v>105</c:v>
                </c:pt>
                <c:pt idx="8">
                  <c:v>107</c:v>
                </c:pt>
                <c:pt idx="9">
                  <c:v>105</c:v>
                </c:pt>
              </c:numCache>
            </c:numRef>
          </c:val>
          <c:smooth val="0"/>
          <c:extLst>
            <c:ext xmlns:c16="http://schemas.microsoft.com/office/drawing/2014/chart" uri="{C3380CC4-5D6E-409C-BE32-E72D297353CC}">
              <c16:uniqueId val="{00000003-5325-439A-AA03-C65E9BDE02B7}"/>
            </c:ext>
          </c:extLst>
        </c:ser>
        <c:ser>
          <c:idx val="4"/>
          <c:order val="4"/>
          <c:tx>
            <c:strRef>
              <c:f>'2. Trade in Goods'!$A$156</c:f>
              <c:strCache>
                <c:ptCount val="1"/>
                <c:pt idx="0">
                  <c:v>Spain</c:v>
                </c:pt>
              </c:strCache>
            </c:strRef>
          </c:tx>
          <c:spPr>
            <a:ln w="28575" cap="rnd">
              <a:solidFill>
                <a:schemeClr val="accent6">
                  <a:lumMod val="60000"/>
                  <a:lumOff val="40000"/>
                </a:schemeClr>
              </a:solidFill>
              <a:round/>
            </a:ln>
            <a:effectLst/>
          </c:spPr>
          <c:marker>
            <c:symbol val="none"/>
          </c:marker>
          <c:cat>
            <c:numRef>
              <c:f>'2. Trade in Goods'!$B$151:$K$151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 Trade in Goods'!$B$156:$K$156</c:f>
              <c:numCache>
                <c:formatCode>General</c:formatCode>
                <c:ptCount val="10"/>
                <c:pt idx="0">
                  <c:v>75</c:v>
                </c:pt>
                <c:pt idx="1">
                  <c:v>73</c:v>
                </c:pt>
                <c:pt idx="2">
                  <c:v>79</c:v>
                </c:pt>
                <c:pt idx="3">
                  <c:v>87</c:v>
                </c:pt>
                <c:pt idx="4">
                  <c:v>91</c:v>
                </c:pt>
                <c:pt idx="5">
                  <c:v>95</c:v>
                </c:pt>
                <c:pt idx="6">
                  <c:v>103</c:v>
                </c:pt>
                <c:pt idx="7">
                  <c:v>106</c:v>
                </c:pt>
                <c:pt idx="8">
                  <c:v>101</c:v>
                </c:pt>
                <c:pt idx="9">
                  <c:v>98</c:v>
                </c:pt>
              </c:numCache>
            </c:numRef>
          </c:val>
          <c:smooth val="0"/>
          <c:extLst>
            <c:ext xmlns:c16="http://schemas.microsoft.com/office/drawing/2014/chart" uri="{C3380CC4-5D6E-409C-BE32-E72D297353CC}">
              <c16:uniqueId val="{00000004-5325-439A-AA03-C65E9BDE02B7}"/>
            </c:ext>
          </c:extLst>
        </c:ser>
        <c:dLbls>
          <c:showLegendKey val="0"/>
          <c:showVal val="0"/>
          <c:showCatName val="0"/>
          <c:showSerName val="0"/>
          <c:showPercent val="0"/>
          <c:showBubbleSize val="0"/>
        </c:dLbls>
        <c:smooth val="0"/>
        <c:axId val="696843592"/>
        <c:axId val="696839328"/>
      </c:lineChart>
      <c:catAx>
        <c:axId val="696843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696839328"/>
        <c:crosses val="autoZero"/>
        <c:auto val="1"/>
        <c:lblAlgn val="ctr"/>
        <c:lblOffset val="100"/>
        <c:noMultiLvlLbl val="0"/>
      </c:catAx>
      <c:valAx>
        <c:axId val="696839328"/>
        <c:scaling>
          <c:orientation val="minMax"/>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85000"/>
                        <a:lumOff val="15000"/>
                      </a:schemeClr>
                    </a:solidFill>
                    <a:latin typeface="+mn-lt"/>
                    <a:ea typeface="+mn-ea"/>
                    <a:cs typeface="+mn-cs"/>
                  </a:defRPr>
                </a:pPr>
                <a:r>
                  <a:rPr lang="en-AU" b="1">
                    <a:solidFill>
                      <a:schemeClr val="tx1">
                        <a:lumMod val="85000"/>
                        <a:lumOff val="15000"/>
                      </a:schemeClr>
                    </a:solidFill>
                  </a:rPr>
                  <a:t>% exports / imports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85000"/>
                      <a:lumOff val="1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85000"/>
                    <a:lumOff val="15000"/>
                  </a:schemeClr>
                </a:solidFill>
                <a:latin typeface="+mn-lt"/>
                <a:ea typeface="+mn-ea"/>
                <a:cs typeface="+mn-cs"/>
              </a:defRPr>
            </a:pPr>
            <a:endParaRPr lang="en-US"/>
          </a:p>
        </c:txPr>
        <c:crossAx val="696843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062B03"/>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AU" b="1">
                <a:solidFill>
                  <a:schemeClr val="tx1">
                    <a:lumMod val="75000"/>
                    <a:lumOff val="25000"/>
                  </a:schemeClr>
                </a:solidFill>
              </a:rPr>
              <a:t>Proportion of manufacturing</a:t>
            </a:r>
            <a:r>
              <a:rPr lang="en-AU" b="1" baseline="0">
                <a:solidFill>
                  <a:schemeClr val="tx1">
                    <a:lumMod val="75000"/>
                    <a:lumOff val="25000"/>
                  </a:schemeClr>
                </a:solidFill>
              </a:rPr>
              <a:t> in UK goods exports: 1999 - 2018</a:t>
            </a:r>
          </a:p>
          <a:p>
            <a:pPr>
              <a:defRPr b="1">
                <a:solidFill>
                  <a:schemeClr val="tx1">
                    <a:lumMod val="75000"/>
                    <a:lumOff val="25000"/>
                  </a:schemeClr>
                </a:solidFill>
              </a:defRPr>
            </a:pPr>
            <a:endParaRPr lang="en-AU" b="1">
              <a:solidFill>
                <a:schemeClr val="tx1">
                  <a:lumMod val="75000"/>
                  <a:lumOff val="25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0.1874031484190791"/>
          <c:y val="0.17402777777777778"/>
          <c:w val="0.7851019476398885"/>
          <c:h val="0.59104913969087192"/>
        </c:manualLayout>
      </c:layout>
      <c:barChart>
        <c:barDir val="col"/>
        <c:grouping val="stacked"/>
        <c:varyColors val="0"/>
        <c:ser>
          <c:idx val="0"/>
          <c:order val="0"/>
          <c:tx>
            <c:strRef>
              <c:f>'2. Trade in Goods'!$A$36</c:f>
              <c:strCache>
                <c:ptCount val="1"/>
                <c:pt idx="0">
                  <c:v>Manufactured products</c:v>
                </c:pt>
              </c:strCache>
            </c:strRef>
          </c:tx>
          <c:spPr>
            <a:solidFill>
              <a:srgbClr val="002060"/>
            </a:solidFill>
            <a:ln>
              <a:solidFill>
                <a:schemeClr val="tx1"/>
              </a:solidFill>
            </a:ln>
            <a:effectLst/>
          </c:spPr>
          <c:invertIfNegative val="0"/>
          <c:dLbls>
            <c:dLbl>
              <c:idx val="0"/>
              <c:tx>
                <c:rich>
                  <a:bodyPr/>
                  <a:lstStyle/>
                  <a:p>
                    <a:r>
                      <a:rPr lang="en-US"/>
                      <a:t>91.6%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8B-4047-9840-A8C0320C69A0}"/>
                </c:ext>
              </c:extLst>
            </c:dLbl>
            <c:dLbl>
              <c:idx val="1"/>
              <c:tx>
                <c:rich>
                  <a:bodyPr/>
                  <a:lstStyle/>
                  <a:p>
                    <a:r>
                      <a:rPr lang="en-US"/>
                      <a:t>88.1%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8B-4047-9840-A8C0320C69A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 Trade in Goods'!$B$35:$D$35</c15:sqref>
                  </c15:fullRef>
                </c:ext>
              </c:extLst>
              <c:f>'2. Trade in Goods'!$B$35:$C$35</c:f>
              <c:strCache>
                <c:ptCount val="2"/>
                <c:pt idx="0">
                  <c:v>1999</c:v>
                </c:pt>
                <c:pt idx="1">
                  <c:v>2018</c:v>
                </c:pt>
              </c:strCache>
            </c:strRef>
          </c:cat>
          <c:val>
            <c:numRef>
              <c:extLst>
                <c:ext xmlns:c15="http://schemas.microsoft.com/office/drawing/2012/chart" uri="{02D57815-91ED-43cb-92C2-25804820EDAC}">
                  <c15:fullRef>
                    <c15:sqref>'2. Trade in Goods'!$B$36:$D$36</c15:sqref>
                  </c15:fullRef>
                </c:ext>
              </c:extLst>
              <c:f>'2. Trade in Goods'!$B$36:$C$36</c:f>
              <c:numCache>
                <c:formatCode>0.0</c:formatCode>
                <c:ptCount val="2"/>
                <c:pt idx="0">
                  <c:v>151.34899999999999</c:v>
                </c:pt>
                <c:pt idx="1">
                  <c:v>308.89999999999998</c:v>
                </c:pt>
              </c:numCache>
            </c:numRef>
          </c:val>
          <c:extLst>
            <c:ext xmlns:c16="http://schemas.microsoft.com/office/drawing/2014/chart" uri="{C3380CC4-5D6E-409C-BE32-E72D297353CC}">
              <c16:uniqueId val="{00000000-1469-4566-900A-1E589FFE5691}"/>
            </c:ext>
          </c:extLst>
        </c:ser>
        <c:ser>
          <c:idx val="1"/>
          <c:order val="1"/>
          <c:tx>
            <c:strRef>
              <c:f>'2. Trade in Goods'!$A$37</c:f>
              <c:strCache>
                <c:ptCount val="1"/>
                <c:pt idx="0">
                  <c:v>Non-Manufactured poducts</c:v>
                </c:pt>
              </c:strCache>
            </c:strRef>
          </c:tx>
          <c:spPr>
            <a:solidFill>
              <a:srgbClr val="C00000"/>
            </a:solidFill>
            <a:ln>
              <a:solidFill>
                <a:srgbClr val="990000"/>
              </a:solidFill>
            </a:ln>
            <a:effectLst/>
          </c:spPr>
          <c:invertIfNegative val="0"/>
          <c:cat>
            <c:strRef>
              <c:extLst>
                <c:ext xmlns:c15="http://schemas.microsoft.com/office/drawing/2012/chart" uri="{02D57815-91ED-43cb-92C2-25804820EDAC}">
                  <c15:fullRef>
                    <c15:sqref>'2. Trade in Goods'!$B$35:$D$35</c15:sqref>
                  </c15:fullRef>
                </c:ext>
              </c:extLst>
              <c:f>'2. Trade in Goods'!$B$35:$C$35</c:f>
              <c:strCache>
                <c:ptCount val="2"/>
                <c:pt idx="0">
                  <c:v>1999</c:v>
                </c:pt>
                <c:pt idx="1">
                  <c:v>2018</c:v>
                </c:pt>
              </c:strCache>
            </c:strRef>
          </c:cat>
          <c:val>
            <c:numRef>
              <c:extLst>
                <c:ext xmlns:c15="http://schemas.microsoft.com/office/drawing/2012/chart" uri="{02D57815-91ED-43cb-92C2-25804820EDAC}">
                  <c15:fullRef>
                    <c15:sqref>'2. Trade in Goods'!$B$37:$D$37</c15:sqref>
                  </c15:fullRef>
                </c:ext>
              </c:extLst>
              <c:f>'2. Trade in Goods'!$B$37:$C$37</c:f>
              <c:numCache>
                <c:formatCode>0.0</c:formatCode>
                <c:ptCount val="2"/>
                <c:pt idx="0">
                  <c:v>16.403999999999996</c:v>
                </c:pt>
                <c:pt idx="1">
                  <c:v>41.655999999999999</c:v>
                </c:pt>
              </c:numCache>
            </c:numRef>
          </c:val>
          <c:extLst>
            <c:ext xmlns:c16="http://schemas.microsoft.com/office/drawing/2014/chart" uri="{C3380CC4-5D6E-409C-BE32-E72D297353CC}">
              <c16:uniqueId val="{00000001-1469-4566-900A-1E589FFE5691}"/>
            </c:ext>
          </c:extLst>
        </c:ser>
        <c:dLbls>
          <c:showLegendKey val="0"/>
          <c:showVal val="0"/>
          <c:showCatName val="0"/>
          <c:showSerName val="0"/>
          <c:showPercent val="0"/>
          <c:showBubbleSize val="0"/>
        </c:dLbls>
        <c:gapWidth val="219"/>
        <c:overlap val="100"/>
        <c:axId val="696412112"/>
        <c:axId val="696412440"/>
      </c:barChart>
      <c:catAx>
        <c:axId val="69641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crossAx val="696412440"/>
        <c:crosses val="autoZero"/>
        <c:auto val="1"/>
        <c:lblAlgn val="ctr"/>
        <c:lblOffset val="100"/>
        <c:noMultiLvlLbl val="0"/>
      </c:catAx>
      <c:valAx>
        <c:axId val="696412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r>
                  <a:rPr lang="en-AU" sz="1050" b="1">
                    <a:solidFill>
                      <a:schemeClr val="tx1">
                        <a:lumMod val="85000"/>
                        <a:lumOff val="15000"/>
                      </a:schemeClr>
                    </a:solidFill>
                    <a:latin typeface="Calibri" panose="020F0502020204030204" pitchFamily="34" charset="0"/>
                    <a:cs typeface="Calibri" panose="020F0502020204030204" pitchFamily="34" charset="0"/>
                  </a:rPr>
                  <a:t>£</a:t>
                </a:r>
                <a:r>
                  <a:rPr lang="en-AU" sz="1050" b="1" baseline="0">
                    <a:solidFill>
                      <a:schemeClr val="tx1">
                        <a:lumMod val="85000"/>
                        <a:lumOff val="15000"/>
                      </a:schemeClr>
                    </a:solidFill>
                    <a:latin typeface="Calibri" panose="020F0502020204030204" pitchFamily="34" charset="0"/>
                    <a:cs typeface="Calibri" panose="020F0502020204030204" pitchFamily="34" charset="0"/>
                  </a:rPr>
                  <a:t> billion</a:t>
                </a:r>
                <a:endParaRPr lang="en-AU" sz="1050" b="1">
                  <a:solidFill>
                    <a:schemeClr val="tx1">
                      <a:lumMod val="85000"/>
                      <a:lumOff val="15000"/>
                    </a:schemeClr>
                  </a:solidFill>
                </a:endParaRPr>
              </a:p>
            </c:rich>
          </c:tx>
          <c:layout>
            <c:manualLayout>
              <c:xMode val="edge"/>
              <c:yMode val="edge"/>
              <c:x val="1.5991469872952181E-2"/>
              <c:y val="0.40897090988626422"/>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696412112"/>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UK Goods</a:t>
            </a:r>
            <a:r>
              <a:rPr lang="en-AU" b="1" baseline="0"/>
              <a:t> Exports (</a:t>
            </a:r>
            <a:r>
              <a:rPr lang="en-AU" b="1" baseline="0">
                <a:latin typeface="Calibri" panose="020F0502020204030204" pitchFamily="34" charset="0"/>
                <a:cs typeface="Calibri" panose="020F0502020204030204" pitchFamily="34" charset="0"/>
              </a:rPr>
              <a:t>£bn)</a:t>
            </a:r>
            <a:r>
              <a:rPr lang="en-AU" b="1"/>
              <a:t>:</a:t>
            </a:r>
            <a:r>
              <a:rPr lang="en-AU" b="1" baseline="0"/>
              <a:t> 2016</a:t>
            </a:r>
            <a:endParaRPr lang="en-AU" b="1"/>
          </a:p>
        </c:rich>
      </c:tx>
      <c:layout>
        <c:manualLayout>
          <c:xMode val="edge"/>
          <c:yMode val="edge"/>
          <c:x val="0.31701932552461232"/>
          <c:y val="5.452612366820196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40443036384538E-2"/>
          <c:y val="0.11879106328960058"/>
          <c:w val="0.85947964673707122"/>
          <c:h val="0.42409824155541392"/>
        </c:manualLayout>
      </c:layout>
      <c:barChart>
        <c:barDir val="bar"/>
        <c:grouping val="stacked"/>
        <c:varyColors val="0"/>
        <c:ser>
          <c:idx val="0"/>
          <c:order val="0"/>
          <c:tx>
            <c:strRef>
              <c:f>'2. Trade in Goods'!$A$11</c:f>
              <c:strCache>
                <c:ptCount val="1"/>
                <c:pt idx="0">
                  <c:v>Motor vehicles</c:v>
                </c:pt>
              </c:strCache>
            </c:strRef>
          </c:tx>
          <c:spPr>
            <a:solidFill>
              <a:schemeClr val="accent1">
                <a:lumMod val="50000"/>
              </a:schemeClr>
            </a:solidFill>
            <a:ln w="12700">
              <a:solidFill>
                <a:schemeClr val="tx1">
                  <a:lumMod val="95000"/>
                  <a:lumOff val="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Goods'!$B$11:$C$11</c:f>
              <c:numCache>
                <c:formatCode>_-[$£-809]* #,##0.0_-;\-[$£-809]* #,##0.0_-;_-[$£-809]* "-"??_-;_-@_-</c:formatCode>
                <c:ptCount val="2"/>
                <c:pt idx="0">
                  <c:v>18.52</c:v>
                </c:pt>
                <c:pt idx="1">
                  <c:v>25.84</c:v>
                </c:pt>
              </c:numCache>
            </c:numRef>
          </c:val>
          <c:extLst>
            <c:ext xmlns:c16="http://schemas.microsoft.com/office/drawing/2014/chart" uri="{C3380CC4-5D6E-409C-BE32-E72D297353CC}">
              <c16:uniqueId val="{00000000-1FD8-4999-A89A-EAB6674239AA}"/>
            </c:ext>
          </c:extLst>
        </c:ser>
        <c:ser>
          <c:idx val="1"/>
          <c:order val="1"/>
          <c:tx>
            <c:strRef>
              <c:f>'2. Trade in Goods'!$A$12</c:f>
              <c:strCache>
                <c:ptCount val="1"/>
                <c:pt idx="0">
                  <c:v>Transport equipmany (inc. aerospace)</c:v>
                </c:pt>
              </c:strCache>
            </c:strRef>
          </c:tx>
          <c:spPr>
            <a:solidFill>
              <a:srgbClr val="990000"/>
            </a:solidFill>
            <a:ln w="12700">
              <a:solidFill>
                <a:srgbClr val="45070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Goods'!$B$12:$C$12</c:f>
              <c:numCache>
                <c:formatCode>_-[$£-809]* #,##0.0_-;\-[$£-809]* #,##0.0_-;_-[$£-809]* "-"??_-;_-@_-</c:formatCode>
                <c:ptCount val="2"/>
                <c:pt idx="0">
                  <c:v>12.85</c:v>
                </c:pt>
                <c:pt idx="1">
                  <c:v>23.63</c:v>
                </c:pt>
              </c:numCache>
            </c:numRef>
          </c:val>
          <c:extLst>
            <c:ext xmlns:c16="http://schemas.microsoft.com/office/drawing/2014/chart" uri="{C3380CC4-5D6E-409C-BE32-E72D297353CC}">
              <c16:uniqueId val="{00000001-1FD8-4999-A89A-EAB6674239AA}"/>
            </c:ext>
          </c:extLst>
        </c:ser>
        <c:ser>
          <c:idx val="2"/>
          <c:order val="2"/>
          <c:tx>
            <c:strRef>
              <c:f>'2. Trade in Goods'!$A$13</c:f>
              <c:strCache>
                <c:ptCount val="1"/>
                <c:pt idx="0">
                  <c:v>Machinery</c:v>
                </c:pt>
              </c:strCache>
            </c:strRef>
          </c:tx>
          <c:spPr>
            <a:solidFill>
              <a:schemeClr val="accent1">
                <a:lumMod val="75000"/>
              </a:schemeClr>
            </a:solidFill>
            <a:ln w="12700">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Goods'!$B$13:$C$13</c:f>
              <c:numCache>
                <c:formatCode>_-[$£-809]* #,##0.0_-;\-[$£-809]* #,##0.0_-;_-[$£-809]* "-"??_-;_-@_-</c:formatCode>
                <c:ptCount val="2"/>
                <c:pt idx="0">
                  <c:v>14.29</c:v>
                </c:pt>
                <c:pt idx="1">
                  <c:v>18.84</c:v>
                </c:pt>
              </c:numCache>
            </c:numRef>
          </c:val>
          <c:extLst>
            <c:ext xmlns:c16="http://schemas.microsoft.com/office/drawing/2014/chart" uri="{C3380CC4-5D6E-409C-BE32-E72D297353CC}">
              <c16:uniqueId val="{00000002-1FD8-4999-A89A-EAB6674239AA}"/>
            </c:ext>
          </c:extLst>
        </c:ser>
        <c:ser>
          <c:idx val="3"/>
          <c:order val="3"/>
          <c:tx>
            <c:strRef>
              <c:f>'2. Trade in Goods'!$A$14</c:f>
              <c:strCache>
                <c:ptCount val="1"/>
                <c:pt idx="0">
                  <c:v>Chemicals</c:v>
                </c:pt>
              </c:strCache>
            </c:strRef>
          </c:tx>
          <c:spPr>
            <a:solidFill>
              <a:srgbClr val="F24848"/>
            </a:solidFill>
            <a:ln w="12700">
              <a:solidFill>
                <a:srgbClr val="C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Goods'!$B$14:$C$14</c:f>
              <c:numCache>
                <c:formatCode>_-[$£-809]* #,##0.0_-;\-[$£-809]* #,##0.0_-;_-[$£-809]* "-"??_-;_-@_-</c:formatCode>
                <c:ptCount val="2"/>
                <c:pt idx="0">
                  <c:v>18.34</c:v>
                </c:pt>
                <c:pt idx="1">
                  <c:v>11.76</c:v>
                </c:pt>
              </c:numCache>
            </c:numRef>
          </c:val>
          <c:extLst>
            <c:ext xmlns:c16="http://schemas.microsoft.com/office/drawing/2014/chart" uri="{C3380CC4-5D6E-409C-BE32-E72D297353CC}">
              <c16:uniqueId val="{00000003-1FD8-4999-A89A-EAB6674239AA}"/>
            </c:ext>
          </c:extLst>
        </c:ser>
        <c:ser>
          <c:idx val="4"/>
          <c:order val="4"/>
          <c:tx>
            <c:strRef>
              <c:f>'2. Trade in Goods'!$A$16</c:f>
              <c:strCache>
                <c:ptCount val="1"/>
                <c:pt idx="0">
                  <c:v>Pharmaceuticals</c:v>
                </c:pt>
              </c:strCache>
            </c:strRef>
          </c:tx>
          <c:spPr>
            <a:solidFill>
              <a:schemeClr val="accent1">
                <a:lumMod val="60000"/>
                <a:lumOff val="40000"/>
              </a:schemeClr>
            </a:solidFill>
            <a:ln w="12700">
              <a:solidFill>
                <a:schemeClr val="accent1">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Goods'!$B$16:$C$16</c:f>
              <c:numCache>
                <c:formatCode>_-[$£-809]* #,##0.0_-;\-[$£-809]* #,##0.0_-;_-[$£-809]* "-"??_-;_-@_-</c:formatCode>
                <c:ptCount val="2"/>
                <c:pt idx="0">
                  <c:v>11.14</c:v>
                </c:pt>
                <c:pt idx="1">
                  <c:v>14.42</c:v>
                </c:pt>
              </c:numCache>
            </c:numRef>
          </c:val>
          <c:extLst>
            <c:ext xmlns:c16="http://schemas.microsoft.com/office/drawing/2014/chart" uri="{C3380CC4-5D6E-409C-BE32-E72D297353CC}">
              <c16:uniqueId val="{00000004-1FD8-4999-A89A-EAB6674239AA}"/>
            </c:ext>
          </c:extLst>
        </c:ser>
        <c:ser>
          <c:idx val="5"/>
          <c:order val="5"/>
          <c:tx>
            <c:strRef>
              <c:f>'2. Trade in Goods'!#REF!</c:f>
              <c:strCache>
                <c:ptCount val="1"/>
                <c:pt idx="0">
                  <c:v>#REF!</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Goods'!#REF!</c:f>
              <c:numCache>
                <c:formatCode>General</c:formatCode>
                <c:ptCount val="1"/>
                <c:pt idx="0">
                  <c:v>1</c:v>
                </c:pt>
              </c:numCache>
            </c:numRef>
          </c:val>
          <c:extLst>
            <c:ext xmlns:c16="http://schemas.microsoft.com/office/drawing/2014/chart" uri="{C3380CC4-5D6E-409C-BE32-E72D297353CC}">
              <c16:uniqueId val="{00000005-1FD8-4999-A89A-EAB6674239AA}"/>
            </c:ext>
          </c:extLst>
        </c:ser>
        <c:ser>
          <c:idx val="6"/>
          <c:order val="6"/>
          <c:tx>
            <c:strRef>
              <c:f>'2. Trade in Goods'!$A$17</c:f>
              <c:strCache>
                <c:ptCount val="1"/>
                <c:pt idx="0">
                  <c:v>Basic metals</c:v>
                </c:pt>
              </c:strCache>
            </c:strRef>
          </c:tx>
          <c:spPr>
            <a:solidFill>
              <a:srgbClr val="062B03"/>
            </a:solidFill>
            <a:ln w="12700">
              <a:solidFill>
                <a:sysClr val="windowText" lastClr="000000"/>
              </a:solidFill>
            </a:ln>
            <a:effectLst/>
          </c:spPr>
          <c:invertIfNegative val="0"/>
          <c:dLbls>
            <c:dLbl>
              <c:idx val="0"/>
              <c:layout>
                <c:manualLayout>
                  <c:x val="-6.9094686034136717E-17"/>
                  <c:y val="1.51133531234957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FD8-4999-A89A-EAB6674239A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Goods'!$B$17:$C$17</c:f>
              <c:numCache>
                <c:formatCode>_-[$£-809]* #,##0.0_-;\-[$£-809]* #,##0.0_-;_-[$£-809]* "-"??_-;_-@_-</c:formatCode>
                <c:ptCount val="2"/>
                <c:pt idx="0">
                  <c:v>7.36</c:v>
                </c:pt>
                <c:pt idx="1">
                  <c:v>9.42</c:v>
                </c:pt>
              </c:numCache>
            </c:numRef>
          </c:val>
          <c:extLst>
            <c:ext xmlns:c16="http://schemas.microsoft.com/office/drawing/2014/chart" uri="{C3380CC4-5D6E-409C-BE32-E72D297353CC}">
              <c16:uniqueId val="{00000006-1FD8-4999-A89A-EAB6674239AA}"/>
            </c:ext>
          </c:extLst>
        </c:ser>
        <c:ser>
          <c:idx val="7"/>
          <c:order val="7"/>
          <c:tx>
            <c:strRef>
              <c:f>'2. Trade in Goods'!$A$18</c:f>
              <c:strCache>
                <c:ptCount val="1"/>
                <c:pt idx="0">
                  <c:v>Food products</c:v>
                </c:pt>
              </c:strCache>
            </c:strRef>
          </c:tx>
          <c:spPr>
            <a:solidFill>
              <a:schemeClr val="accent6">
                <a:lumMod val="75000"/>
              </a:schemeClr>
            </a:solidFill>
            <a:ln w="12700">
              <a:solidFill>
                <a:schemeClr val="tx1">
                  <a:lumMod val="95000"/>
                  <a:lumOff val="5000"/>
                </a:schemeClr>
              </a:solidFill>
            </a:ln>
            <a:effectLst/>
          </c:spPr>
          <c:invertIfNegative val="0"/>
          <c:dLbls>
            <c:dLbl>
              <c:idx val="0"/>
              <c:layout>
                <c:manualLayout>
                  <c:x val="-6.9094686034136717E-17"/>
                  <c:y val="-2.64480704591662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FD8-4999-A89A-EAB6674239AA}"/>
                </c:ext>
              </c:extLst>
            </c:dLbl>
            <c:dLbl>
              <c:idx val="1"/>
              <c:delete val="1"/>
              <c:extLst>
                <c:ext xmlns:c15="http://schemas.microsoft.com/office/drawing/2012/chart" uri="{CE6537A1-D6FC-4f65-9D91-7224C49458BB}"/>
                <c:ext xmlns:c16="http://schemas.microsoft.com/office/drawing/2014/chart" uri="{C3380CC4-5D6E-409C-BE32-E72D297353CC}">
                  <c16:uniqueId val="{00000007-1FD8-4999-A89A-EAB6674239A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Goods'!$B$18:$C$18</c:f>
              <c:numCache>
                <c:formatCode>_-[$£-809]* #,##0.0_-;\-[$£-809]* #,##0.0_-;_-[$£-809]* "-"??_-;_-@_-</c:formatCode>
                <c:ptCount val="2"/>
                <c:pt idx="0">
                  <c:v>9.7799999999999994</c:v>
                </c:pt>
                <c:pt idx="1">
                  <c:v>3.68</c:v>
                </c:pt>
              </c:numCache>
            </c:numRef>
          </c:val>
          <c:extLst>
            <c:ext xmlns:c16="http://schemas.microsoft.com/office/drawing/2014/chart" uri="{C3380CC4-5D6E-409C-BE32-E72D297353CC}">
              <c16:uniqueId val="{00000008-1FD8-4999-A89A-EAB6674239AA}"/>
            </c:ext>
          </c:extLst>
        </c:ser>
        <c:ser>
          <c:idx val="8"/>
          <c:order val="8"/>
          <c:tx>
            <c:strRef>
              <c:f>'2. Trade in Goods'!$A$19</c:f>
              <c:strCache>
                <c:ptCount val="1"/>
                <c:pt idx="0">
                  <c:v>Electrical goods</c:v>
                </c:pt>
              </c:strCache>
            </c:strRef>
          </c:tx>
          <c:spPr>
            <a:solidFill>
              <a:schemeClr val="accent6">
                <a:lumMod val="60000"/>
                <a:lumOff val="40000"/>
              </a:schemeClr>
            </a:solidFill>
            <a:ln w="12700">
              <a:solidFill>
                <a:schemeClr val="accent6">
                  <a:lumMod val="50000"/>
                </a:schemeClr>
              </a:solidFill>
            </a:ln>
            <a:effectLst/>
          </c:spPr>
          <c:invertIfNegative val="0"/>
          <c:dLbls>
            <c:dLbl>
              <c:idx val="0"/>
              <c:layout>
                <c:manualLayout>
                  <c:x val="-1.4563468381619553E-3"/>
                  <c:y val="1.5113948137398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8-4999-A89A-EAB6674239A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Goods'!$B$19:$C$19</c:f>
              <c:numCache>
                <c:formatCode>_-[$£-809]* #,##0.0_-;\-[$£-809]* #,##0.0_-;_-[$£-809]* "-"??_-;_-@_-</c:formatCode>
                <c:ptCount val="2"/>
                <c:pt idx="0">
                  <c:v>5.81</c:v>
                </c:pt>
                <c:pt idx="1">
                  <c:v>6.54</c:v>
                </c:pt>
              </c:numCache>
            </c:numRef>
          </c:val>
          <c:extLst>
            <c:ext xmlns:c16="http://schemas.microsoft.com/office/drawing/2014/chart" uri="{C3380CC4-5D6E-409C-BE32-E72D297353CC}">
              <c16:uniqueId val="{0000000A-1FD8-4999-A89A-EAB6674239AA}"/>
            </c:ext>
          </c:extLst>
        </c:ser>
        <c:ser>
          <c:idx val="9"/>
          <c:order val="9"/>
          <c:tx>
            <c:strRef>
              <c:f>'2. Trade in Goods'!$A$20</c:f>
              <c:strCache>
                <c:ptCount val="1"/>
                <c:pt idx="0">
                  <c:v>Beverages</c:v>
                </c:pt>
              </c:strCache>
            </c:strRef>
          </c:tx>
          <c:spPr>
            <a:solidFill>
              <a:schemeClr val="accent4">
                <a:lumMod val="60000"/>
                <a:lumOff val="40000"/>
              </a:schemeClr>
            </a:solidFill>
            <a:ln w="12700">
              <a:solidFill>
                <a:schemeClr val="accent4">
                  <a:lumMod val="50000"/>
                </a:schemeClr>
              </a:solidFill>
            </a:ln>
            <a:effectLst/>
          </c:spPr>
          <c:invertIfNegative val="0"/>
          <c:dLbls>
            <c:delete val="1"/>
          </c:dLbls>
          <c:cat>
            <c:strRef>
              <c:f>'2. Trade in Goods'!$B$10:$C$10</c:f>
              <c:strCache>
                <c:ptCount val="2"/>
                <c:pt idx="0">
                  <c:v>EU</c:v>
                </c:pt>
                <c:pt idx="1">
                  <c:v>non-EU</c:v>
                </c:pt>
              </c:strCache>
            </c:strRef>
          </c:cat>
          <c:val>
            <c:numRef>
              <c:f>'2. Trade in Goods'!$B$20:$C$20</c:f>
              <c:numCache>
                <c:formatCode>_-[$£-809]* #,##0.0_-;\-[$£-809]* #,##0.0_-;_-[$£-809]* "-"??_-;_-@_-</c:formatCode>
                <c:ptCount val="2"/>
                <c:pt idx="0">
                  <c:v>2.95</c:v>
                </c:pt>
                <c:pt idx="1">
                  <c:v>5.25</c:v>
                </c:pt>
              </c:numCache>
            </c:numRef>
          </c:val>
          <c:extLst>
            <c:ext xmlns:c16="http://schemas.microsoft.com/office/drawing/2014/chart" uri="{C3380CC4-5D6E-409C-BE32-E72D297353CC}">
              <c16:uniqueId val="{0000000B-1FD8-4999-A89A-EAB6674239AA}"/>
            </c:ext>
          </c:extLst>
        </c:ser>
        <c:ser>
          <c:idx val="10"/>
          <c:order val="10"/>
          <c:tx>
            <c:strRef>
              <c:f>'2. Trade in Goods'!$A$21</c:f>
              <c:strCache>
                <c:ptCount val="1"/>
                <c:pt idx="0">
                  <c:v>Other manufactured products</c:v>
                </c:pt>
              </c:strCache>
            </c:strRef>
          </c:tx>
          <c:spPr>
            <a:solidFill>
              <a:schemeClr val="accent4">
                <a:lumMod val="75000"/>
              </a:schemeClr>
            </a:solidFill>
            <a:ln w="12700">
              <a:solidFill>
                <a:schemeClr val="accent4">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Goods'!$B$21:$C$21</c:f>
              <c:numCache>
                <c:formatCode>_-[$£-809]* #,##0.0_-;\-[$£-809]* #,##0.0_-;_-[$£-809]* "-"??_-;_-@_-</c:formatCode>
                <c:ptCount val="2"/>
                <c:pt idx="0">
                  <c:v>36.86</c:v>
                </c:pt>
                <c:pt idx="1">
                  <c:v>24.642999999999972</c:v>
                </c:pt>
              </c:numCache>
            </c:numRef>
          </c:val>
          <c:extLst>
            <c:ext xmlns:c16="http://schemas.microsoft.com/office/drawing/2014/chart" uri="{C3380CC4-5D6E-409C-BE32-E72D297353CC}">
              <c16:uniqueId val="{0000000C-1FD8-4999-A89A-EAB6674239AA}"/>
            </c:ext>
          </c:extLst>
        </c:ser>
        <c:ser>
          <c:idx val="11"/>
          <c:order val="11"/>
          <c:tx>
            <c:strRef>
              <c:f>'2. Trade in Goods'!$A$22</c:f>
              <c:strCache>
                <c:ptCount val="1"/>
                <c:pt idx="0">
                  <c:v>Products of agriculture, forestry &amp; fishing</c:v>
                </c:pt>
              </c:strCache>
            </c:strRef>
          </c:tx>
          <c:spPr>
            <a:solidFill>
              <a:schemeClr val="tx1"/>
            </a:solidFill>
            <a:ln w="12700">
              <a:solidFill>
                <a:schemeClr val="tx1">
                  <a:lumMod val="85000"/>
                  <a:lumOff val="15000"/>
                </a:schemeClr>
              </a:solidFill>
            </a:ln>
            <a:effectLst/>
          </c:spPr>
          <c:invertIfNegative val="0"/>
          <c:dLbls>
            <c:delete val="1"/>
          </c:dLbls>
          <c:cat>
            <c:strRef>
              <c:f>'2. Trade in Goods'!$B$10:$C$10</c:f>
              <c:strCache>
                <c:ptCount val="2"/>
                <c:pt idx="0">
                  <c:v>EU</c:v>
                </c:pt>
                <c:pt idx="1">
                  <c:v>non-EU</c:v>
                </c:pt>
              </c:strCache>
            </c:strRef>
          </c:cat>
          <c:val>
            <c:numRef>
              <c:f>'2. Trade in Goods'!$B$22:$C$22</c:f>
              <c:numCache>
                <c:formatCode>_-[$£-809]* #,##0.0_-;\-[$£-809]* #,##0.0_-;_-[$£-809]* "-"??_-;_-@_-</c:formatCode>
                <c:ptCount val="2"/>
                <c:pt idx="0">
                  <c:v>2.1240000000000001</c:v>
                </c:pt>
                <c:pt idx="1">
                  <c:v>0.84799999999999998</c:v>
                </c:pt>
              </c:numCache>
            </c:numRef>
          </c:val>
          <c:extLst>
            <c:ext xmlns:c16="http://schemas.microsoft.com/office/drawing/2014/chart" uri="{C3380CC4-5D6E-409C-BE32-E72D297353CC}">
              <c16:uniqueId val="{0000000D-1FD8-4999-A89A-EAB6674239AA}"/>
            </c:ext>
          </c:extLst>
        </c:ser>
        <c:ser>
          <c:idx val="12"/>
          <c:order val="12"/>
          <c:tx>
            <c:strRef>
              <c:f>'2. Trade in Goods'!$A$23</c:f>
              <c:strCache>
                <c:ptCount val="1"/>
                <c:pt idx="0">
                  <c:v>Mining &amp; quarrying (Inc. crude oil &amp; gas)</c:v>
                </c:pt>
              </c:strCache>
            </c:strRef>
          </c:tx>
          <c:spPr>
            <a:solidFill>
              <a:schemeClr val="tx1">
                <a:lumMod val="65000"/>
                <a:lumOff val="35000"/>
              </a:schemeClr>
            </a:solidFill>
            <a:ln w="12700">
              <a:solidFill>
                <a:schemeClr val="tx1">
                  <a:lumMod val="85000"/>
                  <a:lumOff val="1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Goods'!$B$23:$C$23</c:f>
              <c:numCache>
                <c:formatCode>_-[$£-809]* #,##0.0_-;\-[$£-809]* #,##0.0_-;_-[$£-809]* "-"??_-;_-@_-</c:formatCode>
                <c:ptCount val="2"/>
                <c:pt idx="0">
                  <c:v>15.9</c:v>
                </c:pt>
                <c:pt idx="1">
                  <c:v>7.5650000000000004</c:v>
                </c:pt>
              </c:numCache>
            </c:numRef>
          </c:val>
          <c:extLst>
            <c:ext xmlns:c16="http://schemas.microsoft.com/office/drawing/2014/chart" uri="{C3380CC4-5D6E-409C-BE32-E72D297353CC}">
              <c16:uniqueId val="{0000000E-1FD8-4999-A89A-EAB6674239AA}"/>
            </c:ext>
          </c:extLst>
        </c:ser>
        <c:ser>
          <c:idx val="13"/>
          <c:order val="13"/>
          <c:tx>
            <c:strRef>
              <c:f>'2. Trade in Goods'!$A$24</c:f>
              <c:strCache>
                <c:ptCount val="1"/>
                <c:pt idx="0">
                  <c:v>Electricity, gas, steam &amp; air conditioning</c:v>
                </c:pt>
              </c:strCache>
            </c:strRef>
          </c:tx>
          <c:spPr>
            <a:solidFill>
              <a:schemeClr val="accent2">
                <a:lumMod val="80000"/>
                <a:lumOff val="20000"/>
              </a:schemeClr>
            </a:solidFill>
            <a:ln>
              <a:noFill/>
            </a:ln>
            <a:effectLst/>
          </c:spPr>
          <c:invertIfNegative val="0"/>
          <c:dLbls>
            <c:delete val="1"/>
          </c:dLbls>
          <c:cat>
            <c:strRef>
              <c:f>'2. Trade in Goods'!$B$10:$C$10</c:f>
              <c:strCache>
                <c:ptCount val="2"/>
                <c:pt idx="0">
                  <c:v>EU</c:v>
                </c:pt>
                <c:pt idx="1">
                  <c:v>non-EU</c:v>
                </c:pt>
              </c:strCache>
            </c:strRef>
          </c:cat>
          <c:val>
            <c:numRef>
              <c:f>'2. Trade in Goods'!$B$24:$C$24</c:f>
              <c:numCache>
                <c:formatCode>_-[$£-809]* #,##0.0_-;\-[$£-809]* #,##0.0_-;_-[$£-809]* "-"??_-;_-@_-</c:formatCode>
                <c:ptCount val="2"/>
                <c:pt idx="0">
                  <c:v>0.13</c:v>
                </c:pt>
                <c:pt idx="1">
                  <c:v>0</c:v>
                </c:pt>
              </c:numCache>
            </c:numRef>
          </c:val>
          <c:extLst>
            <c:ext xmlns:c16="http://schemas.microsoft.com/office/drawing/2014/chart" uri="{C3380CC4-5D6E-409C-BE32-E72D297353CC}">
              <c16:uniqueId val="{0000000F-1FD8-4999-A89A-EAB6674239AA}"/>
            </c:ext>
          </c:extLst>
        </c:ser>
        <c:ser>
          <c:idx val="14"/>
          <c:order val="14"/>
          <c:tx>
            <c:strRef>
              <c:f>'2. Trade in Goods'!$A$25</c:f>
              <c:strCache>
                <c:ptCount val="1"/>
                <c:pt idx="0">
                  <c:v>Water supply, sewerage &amp; waste management</c:v>
                </c:pt>
              </c:strCache>
            </c:strRef>
          </c:tx>
          <c:spPr>
            <a:solidFill>
              <a:schemeClr val="bg1">
                <a:lumMod val="75000"/>
              </a:schemeClr>
            </a:solidFill>
            <a:ln w="12700">
              <a:solidFill>
                <a:schemeClr val="tx1">
                  <a:lumMod val="65000"/>
                  <a:lumOff val="35000"/>
                </a:schemeClr>
              </a:solidFill>
            </a:ln>
            <a:effectLst/>
          </c:spPr>
          <c:invertIfNegative val="0"/>
          <c:dLbls>
            <c:delete val="1"/>
          </c:dLbls>
          <c:cat>
            <c:strRef>
              <c:f>'2. Trade in Goods'!$B$10:$C$10</c:f>
              <c:strCache>
                <c:ptCount val="2"/>
                <c:pt idx="0">
                  <c:v>EU</c:v>
                </c:pt>
                <c:pt idx="1">
                  <c:v>non-EU</c:v>
                </c:pt>
              </c:strCache>
            </c:strRef>
          </c:cat>
          <c:val>
            <c:numRef>
              <c:f>'2. Trade in Goods'!$B$25:$C$25</c:f>
              <c:numCache>
                <c:formatCode>_-[$£-809]* #,##0.0_-;\-[$£-809]* #,##0.0_-;_-[$£-809]* "-"??_-;_-@_-</c:formatCode>
                <c:ptCount val="2"/>
                <c:pt idx="0">
                  <c:v>1.41</c:v>
                </c:pt>
                <c:pt idx="1">
                  <c:v>4.1820000000000004</c:v>
                </c:pt>
              </c:numCache>
            </c:numRef>
          </c:val>
          <c:extLst>
            <c:ext xmlns:c16="http://schemas.microsoft.com/office/drawing/2014/chart" uri="{C3380CC4-5D6E-409C-BE32-E72D297353CC}">
              <c16:uniqueId val="{00000010-1FD8-4999-A89A-EAB6674239AA}"/>
            </c:ext>
          </c:extLst>
        </c:ser>
        <c:ser>
          <c:idx val="15"/>
          <c:order val="15"/>
          <c:tx>
            <c:strRef>
              <c:f>'2. Trade in Goods'!$A$26</c:f>
              <c:strCache>
                <c:ptCount val="1"/>
                <c:pt idx="0">
                  <c:v>Information &amp; communication services</c:v>
                </c:pt>
              </c:strCache>
            </c:strRef>
          </c:tx>
          <c:spPr>
            <a:solidFill>
              <a:schemeClr val="accent4">
                <a:lumMod val="80000"/>
                <a:lumOff val="20000"/>
              </a:schemeClr>
            </a:solidFill>
            <a:ln w="12700">
              <a:solidFill>
                <a:srgbClr val="F1581B"/>
              </a:solidFill>
            </a:ln>
            <a:effectLst/>
          </c:spPr>
          <c:invertIfNegative val="0"/>
          <c:dLbls>
            <c:delete val="1"/>
          </c:dLbls>
          <c:cat>
            <c:strRef>
              <c:f>'2. Trade in Goods'!$B$10:$C$10</c:f>
              <c:strCache>
                <c:ptCount val="2"/>
                <c:pt idx="0">
                  <c:v>EU</c:v>
                </c:pt>
                <c:pt idx="1">
                  <c:v>non-EU</c:v>
                </c:pt>
              </c:strCache>
            </c:strRef>
          </c:cat>
          <c:val>
            <c:numRef>
              <c:f>'2. Trade in Goods'!$B$26:$C$26</c:f>
              <c:numCache>
                <c:formatCode>_-[$£-809]* #,##0.0_-;\-[$£-809]* #,##0.0_-;_-[$£-809]* "-"??_-;_-@_-</c:formatCode>
                <c:ptCount val="2"/>
                <c:pt idx="0">
                  <c:v>1.786</c:v>
                </c:pt>
                <c:pt idx="1">
                  <c:v>1.9039999999999999</c:v>
                </c:pt>
              </c:numCache>
            </c:numRef>
          </c:val>
          <c:extLst>
            <c:ext xmlns:c16="http://schemas.microsoft.com/office/drawing/2014/chart" uri="{C3380CC4-5D6E-409C-BE32-E72D297353CC}">
              <c16:uniqueId val="{00000011-1FD8-4999-A89A-EAB6674239AA}"/>
            </c:ext>
          </c:extLst>
        </c:ser>
        <c:ser>
          <c:idx val="16"/>
          <c:order val="16"/>
          <c:tx>
            <c:strRef>
              <c:f>'2. Trade in Goods'!$A$27</c:f>
              <c:strCache>
                <c:ptCount val="1"/>
                <c:pt idx="0">
                  <c:v>Arts, entertainment &amp; recreation</c:v>
                </c:pt>
              </c:strCache>
            </c:strRef>
          </c:tx>
          <c:spPr>
            <a:solidFill>
              <a:srgbClr val="663300"/>
            </a:solidFill>
            <a:ln w="12700">
              <a:solidFill>
                <a:srgbClr val="450701"/>
              </a:solidFill>
            </a:ln>
            <a:effectLst/>
          </c:spPr>
          <c:invertIfNegative val="0"/>
          <c:dLbls>
            <c:delete val="1"/>
          </c:dLbls>
          <c:cat>
            <c:strRef>
              <c:f>'2. Trade in Goods'!$B$10:$C$10</c:f>
              <c:strCache>
                <c:ptCount val="2"/>
                <c:pt idx="0">
                  <c:v>EU</c:v>
                </c:pt>
                <c:pt idx="1">
                  <c:v>non-EU</c:v>
                </c:pt>
              </c:strCache>
            </c:strRef>
          </c:cat>
          <c:val>
            <c:numRef>
              <c:f>'2. Trade in Goods'!$B$27:$C$27</c:f>
              <c:numCache>
                <c:formatCode>_-[$£-809]* #,##0.0_-;\-[$£-809]* #,##0.0_-;_-[$£-809]* "-"??_-;_-@_-</c:formatCode>
                <c:ptCount val="2"/>
                <c:pt idx="0">
                  <c:v>0.24299999999999999</c:v>
                </c:pt>
                <c:pt idx="1">
                  <c:v>5.5640000000000001</c:v>
                </c:pt>
              </c:numCache>
            </c:numRef>
          </c:val>
          <c:extLst>
            <c:ext xmlns:c16="http://schemas.microsoft.com/office/drawing/2014/chart" uri="{C3380CC4-5D6E-409C-BE32-E72D297353CC}">
              <c16:uniqueId val="{00000012-1FD8-4999-A89A-EAB6674239AA}"/>
            </c:ext>
          </c:extLst>
        </c:ser>
        <c:dLbls>
          <c:dLblPos val="ctr"/>
          <c:showLegendKey val="0"/>
          <c:showVal val="1"/>
          <c:showCatName val="0"/>
          <c:showSerName val="0"/>
          <c:showPercent val="0"/>
          <c:showBubbleSize val="0"/>
        </c:dLbls>
        <c:gapWidth val="85"/>
        <c:overlap val="100"/>
        <c:axId val="592131296"/>
        <c:axId val="592132608"/>
      </c:barChart>
      <c:catAx>
        <c:axId val="592131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592132608"/>
        <c:crosses val="autoZero"/>
        <c:auto val="1"/>
        <c:lblAlgn val="ctr"/>
        <c:lblOffset val="100"/>
        <c:noMultiLvlLbl val="0"/>
      </c:catAx>
      <c:valAx>
        <c:axId val="592132608"/>
        <c:scaling>
          <c:orientation val="minMax"/>
          <c:max val="160"/>
        </c:scaling>
        <c:delete val="0"/>
        <c:axPos val="t"/>
        <c:majorGridlines>
          <c:spPr>
            <a:ln w="9525" cap="flat" cmpd="sng" algn="ctr">
              <a:solidFill>
                <a:schemeClr val="tx1">
                  <a:lumMod val="15000"/>
                  <a:lumOff val="85000"/>
                </a:schemeClr>
              </a:solidFill>
              <a:round/>
            </a:ln>
            <a:effectLst/>
          </c:spPr>
        </c:majorGridlines>
        <c:numFmt formatCode="_-[$£-809]* #,##0_-;\-[$£-809]* #,##0_-;_-[$£-809]* &quot;-&quot;_-;_-@_-"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92131296"/>
        <c:crosses val="autoZero"/>
        <c:crossBetween val="between"/>
      </c:valAx>
      <c:spPr>
        <a:noFill/>
        <a:ln>
          <a:noFill/>
        </a:ln>
        <a:effectLst/>
      </c:spPr>
    </c:plotArea>
    <c:legend>
      <c:legendPos val="b"/>
      <c:layout>
        <c:manualLayout>
          <c:xMode val="edge"/>
          <c:yMode val="edge"/>
          <c:x val="1.3799404770231999E-3"/>
          <c:y val="0.64477699771455155"/>
          <c:w val="0.98970605830621383"/>
          <c:h val="0.3552230022854484"/>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tx1">
                    <a:lumMod val="75000"/>
                    <a:lumOff val="25000"/>
                  </a:schemeClr>
                </a:solidFill>
                <a:latin typeface="+mn-lt"/>
                <a:ea typeface="+mn-ea"/>
                <a:cs typeface="+mn-cs"/>
              </a:defRPr>
            </a:pPr>
            <a:r>
              <a:rPr lang="en-US" sz="1400" b="1" i="0" u="none" strike="noStrike" kern="1200" spc="0" baseline="0">
                <a:solidFill>
                  <a:schemeClr val="tx1">
                    <a:lumMod val="75000"/>
                    <a:lumOff val="25000"/>
                  </a:schemeClr>
                </a:solidFill>
                <a:latin typeface="+mn-lt"/>
                <a:ea typeface="+mn-ea"/>
                <a:cs typeface="+mn-cs"/>
              </a:rPr>
              <a:t>UK-EU and US-China 2018 </a:t>
            </a:r>
            <a:br>
              <a:rPr lang="en-US" sz="1400" b="1" i="0" u="none" strike="noStrike" kern="1200" spc="0" baseline="0">
                <a:solidFill>
                  <a:schemeClr val="tx1">
                    <a:lumMod val="75000"/>
                    <a:lumOff val="25000"/>
                  </a:schemeClr>
                </a:solidFill>
                <a:latin typeface="+mn-lt"/>
                <a:ea typeface="+mn-ea"/>
                <a:cs typeface="+mn-cs"/>
              </a:rPr>
            </a:br>
            <a:r>
              <a:rPr lang="en-US" sz="1400" b="1" i="0" u="none" strike="noStrike" kern="1200" spc="0" baseline="0">
                <a:solidFill>
                  <a:schemeClr val="tx1">
                    <a:lumMod val="75000"/>
                    <a:lumOff val="25000"/>
                  </a:schemeClr>
                </a:solidFill>
                <a:latin typeface="+mn-lt"/>
                <a:ea typeface="+mn-ea"/>
                <a:cs typeface="+mn-cs"/>
              </a:rPr>
              <a:t>Deficits compared: US$ bn</a:t>
            </a:r>
          </a:p>
        </c:rich>
      </c:tx>
      <c:layout>
        <c:manualLayout>
          <c:xMode val="edge"/>
          <c:yMode val="edge"/>
          <c:x val="0.29475737590122114"/>
          <c:y val="4.5553137555615561E-2"/>
        </c:manualLayout>
      </c:layout>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'2. Trade in Goods'!$B$237</c:f>
              <c:strCache>
                <c:ptCount val="1"/>
                <c:pt idx="0">
                  <c:v>US$ bn</c:v>
                </c:pt>
              </c:strCache>
            </c:strRef>
          </c:tx>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5-208D-4EA2-9312-B87F9B5F2374}"/>
              </c:ext>
            </c:extLst>
          </c:dPt>
          <c:dPt>
            <c:idx val="1"/>
            <c:invertIfNegative val="0"/>
            <c:bubble3D val="0"/>
            <c:spPr>
              <a:solidFill>
                <a:srgbClr val="C00000"/>
              </a:solidFill>
              <a:ln>
                <a:noFill/>
              </a:ln>
              <a:effectLst/>
            </c:spPr>
            <c:extLst>
              <c:ext xmlns:c16="http://schemas.microsoft.com/office/drawing/2014/chart" uri="{C3380CC4-5D6E-409C-BE32-E72D297353CC}">
                <c16:uniqueId val="{0000000A-208D-4EA2-9312-B87F9B5F2374}"/>
              </c:ext>
            </c:extLst>
          </c:dPt>
          <c:cat>
            <c:strRef>
              <c:f>'2. Trade in Goods'!$A$238:$A$239</c:f>
              <c:strCache>
                <c:ptCount val="2"/>
                <c:pt idx="0">
                  <c:v>US‒China </c:v>
                </c:pt>
                <c:pt idx="1">
                  <c:v>UK‒EU</c:v>
                </c:pt>
              </c:strCache>
            </c:strRef>
          </c:cat>
          <c:val>
            <c:numRef>
              <c:f>'2. Trade in Goods'!$B$238:$B$239</c:f>
              <c:numCache>
                <c:formatCode>_-"$"* #,##0.0_-;\-"$"* #,##0.0_-;_-"$"* "-"??_-;_-@_-</c:formatCode>
                <c:ptCount val="2"/>
                <c:pt idx="0">
                  <c:v>378.66200000000003</c:v>
                </c:pt>
                <c:pt idx="1">
                  <c:v>85.183840000000004</c:v>
                </c:pt>
              </c:numCache>
            </c:numRef>
          </c:val>
          <c:extLst>
            <c:ext xmlns:c16="http://schemas.microsoft.com/office/drawing/2014/chart" uri="{C3380CC4-5D6E-409C-BE32-E72D297353CC}">
              <c16:uniqueId val="{00000000-B24A-4E8F-9462-8126BA783061}"/>
            </c:ext>
          </c:extLst>
        </c:ser>
        <c:dLbls>
          <c:showLegendKey val="0"/>
          <c:showVal val="0"/>
          <c:showCatName val="0"/>
          <c:showSerName val="0"/>
          <c:showPercent val="0"/>
          <c:showBubbleSize val="0"/>
        </c:dLbls>
        <c:gapWidth val="87"/>
        <c:axId val="625382200"/>
        <c:axId val="625377280"/>
      </c:barChart>
      <c:catAx>
        <c:axId val="625382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crossAx val="625377280"/>
        <c:crosses val="autoZero"/>
        <c:auto val="1"/>
        <c:lblAlgn val="ctr"/>
        <c:lblOffset val="100"/>
        <c:noMultiLvlLbl val="0"/>
      </c:catAx>
      <c:valAx>
        <c:axId val="625377280"/>
        <c:scaling>
          <c:orientation val="minMax"/>
          <c:max val="350"/>
          <c:min val="0"/>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625382200"/>
        <c:crosses val="autoZero"/>
        <c:crossBetween val="between"/>
        <c:majorUnit val="50"/>
        <c:minorUnit val="1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US" b="1"/>
              <a:t>Deficit in goods and services per person: 2018</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barChart>
        <c:barDir val="col"/>
        <c:grouping val="clustered"/>
        <c:varyColors val="0"/>
        <c:ser>
          <c:idx val="0"/>
          <c:order val="0"/>
          <c:tx>
            <c:strRef>
              <c:f>'2. Trade in Goods'!$B$245</c:f>
              <c:strCache>
                <c:ptCount val="1"/>
                <c:pt idx="0">
                  <c:v>US$ </c:v>
                </c:pt>
              </c:strCache>
            </c:strRef>
          </c:tx>
          <c:spPr>
            <a:solidFill>
              <a:schemeClr val="accent1"/>
            </a:solidFill>
            <a:ln>
              <a:noFill/>
            </a:ln>
            <a:effectLst/>
          </c:spPr>
          <c:invertIfNegative val="0"/>
          <c:dPt>
            <c:idx val="0"/>
            <c:invertIfNegative val="0"/>
            <c:bubble3D val="0"/>
            <c:spPr>
              <a:solidFill>
                <a:srgbClr val="C00000"/>
              </a:solidFill>
              <a:ln>
                <a:solidFill>
                  <a:srgbClr val="990000"/>
                </a:solidFill>
              </a:ln>
              <a:effectLst/>
            </c:spPr>
            <c:extLst>
              <c:ext xmlns:c16="http://schemas.microsoft.com/office/drawing/2014/chart" uri="{C3380CC4-5D6E-409C-BE32-E72D297353CC}">
                <c16:uniqueId val="{00000004-3A42-468F-8401-38CD2D7BC60B}"/>
              </c:ext>
            </c:extLst>
          </c:dPt>
          <c:dPt>
            <c:idx val="1"/>
            <c:invertIfNegative val="0"/>
            <c:bubble3D val="0"/>
            <c:spPr>
              <a:solidFill>
                <a:srgbClr val="002060"/>
              </a:solidFill>
              <a:ln>
                <a:noFill/>
              </a:ln>
              <a:effectLst/>
            </c:spPr>
            <c:extLst>
              <c:ext xmlns:c16="http://schemas.microsoft.com/office/drawing/2014/chart" uri="{C3380CC4-5D6E-409C-BE32-E72D297353CC}">
                <c16:uniqueId val="{00000013-3A42-468F-8401-38CD2D7BC60B}"/>
              </c:ext>
            </c:extLst>
          </c:dPt>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Goods'!$A$246:$A$247</c:f>
              <c:strCache>
                <c:ptCount val="2"/>
                <c:pt idx="0">
                  <c:v>US deficit with China </c:v>
                </c:pt>
                <c:pt idx="1">
                  <c:v>UK deficit with EU</c:v>
                </c:pt>
              </c:strCache>
            </c:strRef>
          </c:cat>
          <c:val>
            <c:numRef>
              <c:f>'2. Trade in Goods'!$B$246:$B$247</c:f>
              <c:numCache>
                <c:formatCode>_-[$$-409]* #,##0_ ;_-[$$-409]* \-#,##0\ ;_-[$$-409]* "-"??_ ;_-@_ </c:formatCode>
                <c:ptCount val="2"/>
                <c:pt idx="0">
                  <c:v>1176.6998135487881</c:v>
                </c:pt>
                <c:pt idx="1">
                  <c:v>1316.5972179289026</c:v>
                </c:pt>
              </c:numCache>
            </c:numRef>
          </c:val>
          <c:extLst>
            <c:ext xmlns:c16="http://schemas.microsoft.com/office/drawing/2014/chart" uri="{C3380CC4-5D6E-409C-BE32-E72D297353CC}">
              <c16:uniqueId val="{00000000-3A42-468F-8401-38CD2D7BC60B}"/>
            </c:ext>
          </c:extLst>
        </c:ser>
        <c:dLbls>
          <c:showLegendKey val="0"/>
          <c:showVal val="0"/>
          <c:showCatName val="0"/>
          <c:showSerName val="0"/>
          <c:showPercent val="0"/>
          <c:showBubbleSize val="0"/>
        </c:dLbls>
        <c:gapWidth val="219"/>
        <c:overlap val="-27"/>
        <c:axId val="429755488"/>
        <c:axId val="429755816"/>
      </c:barChart>
      <c:catAx>
        <c:axId val="42975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crossAx val="429755816"/>
        <c:crosses val="autoZero"/>
        <c:auto val="1"/>
        <c:lblAlgn val="ctr"/>
        <c:lblOffset val="100"/>
        <c:noMultiLvlLbl val="0"/>
      </c:catAx>
      <c:valAx>
        <c:axId val="429755816"/>
        <c:scaling>
          <c:orientation val="minMax"/>
          <c:max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r>
                  <a:rPr lang="en-US" sz="1100" b="1"/>
                  <a:t>Deficit per peron</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429755488"/>
        <c:crosses val="autoZero"/>
        <c:crossBetween val="between"/>
        <c:majorUnit val="50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AU" b="1">
                <a:solidFill>
                  <a:schemeClr val="tx1">
                    <a:lumMod val="75000"/>
                    <a:lumOff val="25000"/>
                  </a:schemeClr>
                </a:solidFill>
              </a:rPr>
              <a:t>UK Goods</a:t>
            </a:r>
            <a:r>
              <a:rPr lang="en-AU" b="1" baseline="0">
                <a:solidFill>
                  <a:schemeClr val="tx1">
                    <a:lumMod val="75000"/>
                    <a:lumOff val="25000"/>
                  </a:schemeClr>
                </a:solidFill>
              </a:rPr>
              <a:t> Exports (</a:t>
            </a:r>
            <a:r>
              <a:rPr lang="en-AU" b="1" baseline="0">
                <a:solidFill>
                  <a:schemeClr val="tx1">
                    <a:lumMod val="75000"/>
                    <a:lumOff val="25000"/>
                  </a:schemeClr>
                </a:solidFill>
                <a:latin typeface="Calibri" panose="020F0502020204030204" pitchFamily="34" charset="0"/>
                <a:cs typeface="Calibri" panose="020F0502020204030204" pitchFamily="34" charset="0"/>
              </a:rPr>
              <a:t>£bn)</a:t>
            </a:r>
            <a:r>
              <a:rPr lang="en-AU" b="1">
                <a:solidFill>
                  <a:schemeClr val="tx1">
                    <a:lumMod val="75000"/>
                    <a:lumOff val="25000"/>
                  </a:schemeClr>
                </a:solidFill>
              </a:rPr>
              <a:t>:</a:t>
            </a:r>
            <a:r>
              <a:rPr lang="en-AU" b="1" baseline="0">
                <a:solidFill>
                  <a:schemeClr val="tx1">
                    <a:lumMod val="75000"/>
                    <a:lumOff val="25000"/>
                  </a:schemeClr>
                </a:solidFill>
              </a:rPr>
              <a:t> 2018</a:t>
            </a:r>
            <a:endParaRPr lang="en-AU" b="1">
              <a:solidFill>
                <a:schemeClr val="tx1">
                  <a:lumMod val="75000"/>
                  <a:lumOff val="25000"/>
                </a:schemeClr>
              </a:solidFill>
            </a:endParaRPr>
          </a:p>
        </c:rich>
      </c:tx>
      <c:layout>
        <c:manualLayout>
          <c:xMode val="edge"/>
          <c:yMode val="edge"/>
          <c:x val="0.31701932552461232"/>
          <c:y val="5.452612366820196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9.240443036384538E-2"/>
          <c:y val="0.11879106328960058"/>
          <c:w val="0.87584513614690829"/>
          <c:h val="0.47321666505495447"/>
        </c:manualLayout>
      </c:layout>
      <c:barChart>
        <c:barDir val="bar"/>
        <c:grouping val="stacked"/>
        <c:varyColors val="0"/>
        <c:ser>
          <c:idx val="0"/>
          <c:order val="0"/>
          <c:tx>
            <c:strRef>
              <c:f>'2. Trade in Goods'!$A$11</c:f>
              <c:strCache>
                <c:ptCount val="1"/>
                <c:pt idx="0">
                  <c:v>Motor vehicles</c:v>
                </c:pt>
              </c:strCache>
            </c:strRef>
          </c:tx>
          <c:spPr>
            <a:solidFill>
              <a:schemeClr val="accent1">
                <a:lumMod val="50000"/>
              </a:schemeClr>
            </a:solidFill>
            <a:ln w="12700">
              <a:solidFill>
                <a:schemeClr val="tx1">
                  <a:lumMod val="95000"/>
                  <a:lumOff val="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Goods'!$B$11:$C$11</c:f>
              <c:numCache>
                <c:formatCode>_-[$£-809]* #,##0.0_-;\-[$£-809]* #,##0.0_-;_-[$£-809]* "-"??_-;_-@_-</c:formatCode>
                <c:ptCount val="2"/>
                <c:pt idx="0">
                  <c:v>18.52</c:v>
                </c:pt>
                <c:pt idx="1">
                  <c:v>25.84</c:v>
                </c:pt>
              </c:numCache>
            </c:numRef>
          </c:val>
          <c:extLst>
            <c:ext xmlns:c16="http://schemas.microsoft.com/office/drawing/2014/chart" uri="{C3380CC4-5D6E-409C-BE32-E72D297353CC}">
              <c16:uniqueId val="{00000000-D595-40A0-891F-18D7C2D02DA7}"/>
            </c:ext>
          </c:extLst>
        </c:ser>
        <c:ser>
          <c:idx val="1"/>
          <c:order val="1"/>
          <c:tx>
            <c:strRef>
              <c:f>'2. Trade in Goods'!$A$12</c:f>
              <c:strCache>
                <c:ptCount val="1"/>
                <c:pt idx="0">
                  <c:v>Transport equipmany (inc. aerospace)</c:v>
                </c:pt>
              </c:strCache>
            </c:strRef>
          </c:tx>
          <c:spPr>
            <a:solidFill>
              <a:srgbClr val="990000"/>
            </a:solidFill>
            <a:ln w="12700">
              <a:solidFill>
                <a:srgbClr val="45070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Goods'!$B$12:$C$12</c:f>
              <c:numCache>
                <c:formatCode>_-[$£-809]* #,##0.0_-;\-[$£-809]* #,##0.0_-;_-[$£-809]* "-"??_-;_-@_-</c:formatCode>
                <c:ptCount val="2"/>
                <c:pt idx="0">
                  <c:v>12.85</c:v>
                </c:pt>
                <c:pt idx="1">
                  <c:v>23.63</c:v>
                </c:pt>
              </c:numCache>
            </c:numRef>
          </c:val>
          <c:extLst>
            <c:ext xmlns:c16="http://schemas.microsoft.com/office/drawing/2014/chart" uri="{C3380CC4-5D6E-409C-BE32-E72D297353CC}">
              <c16:uniqueId val="{00000001-D595-40A0-891F-18D7C2D02DA7}"/>
            </c:ext>
          </c:extLst>
        </c:ser>
        <c:ser>
          <c:idx val="2"/>
          <c:order val="2"/>
          <c:tx>
            <c:strRef>
              <c:f>'2. Trade in Goods'!$A$13</c:f>
              <c:strCache>
                <c:ptCount val="1"/>
                <c:pt idx="0">
                  <c:v>Machinery</c:v>
                </c:pt>
              </c:strCache>
            </c:strRef>
          </c:tx>
          <c:spPr>
            <a:solidFill>
              <a:schemeClr val="bg1">
                <a:lumMod val="65000"/>
              </a:schemeClr>
            </a:solidFill>
            <a:ln w="12700">
              <a:solidFill>
                <a:schemeClr val="tx1">
                  <a:lumMod val="75000"/>
                  <a:lumOff val="2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Goods'!$B$13:$C$13</c:f>
              <c:numCache>
                <c:formatCode>_-[$£-809]* #,##0.0_-;\-[$£-809]* #,##0.0_-;_-[$£-809]* "-"??_-;_-@_-</c:formatCode>
                <c:ptCount val="2"/>
                <c:pt idx="0">
                  <c:v>14.29</c:v>
                </c:pt>
                <c:pt idx="1">
                  <c:v>18.84</c:v>
                </c:pt>
              </c:numCache>
            </c:numRef>
          </c:val>
          <c:extLst>
            <c:ext xmlns:c16="http://schemas.microsoft.com/office/drawing/2014/chart" uri="{C3380CC4-5D6E-409C-BE32-E72D297353CC}">
              <c16:uniqueId val="{00000002-D595-40A0-891F-18D7C2D02DA7}"/>
            </c:ext>
          </c:extLst>
        </c:ser>
        <c:ser>
          <c:idx val="3"/>
          <c:order val="3"/>
          <c:tx>
            <c:strRef>
              <c:f>'2. Trade in Goods'!$A$14</c:f>
              <c:strCache>
                <c:ptCount val="1"/>
                <c:pt idx="0">
                  <c:v>Chemicals</c:v>
                </c:pt>
              </c:strCache>
            </c:strRef>
          </c:tx>
          <c:spPr>
            <a:solidFill>
              <a:srgbClr val="062B03"/>
            </a:solidFill>
            <a:ln w="12700">
              <a:solidFill>
                <a:srgbClr val="062B03"/>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Goods'!$B$14:$C$14</c:f>
              <c:numCache>
                <c:formatCode>_-[$£-809]* #,##0.0_-;\-[$£-809]* #,##0.0_-;_-[$£-809]* "-"??_-;_-@_-</c:formatCode>
                <c:ptCount val="2"/>
                <c:pt idx="0">
                  <c:v>18.34</c:v>
                </c:pt>
                <c:pt idx="1">
                  <c:v>11.76</c:v>
                </c:pt>
              </c:numCache>
            </c:numRef>
          </c:val>
          <c:extLst>
            <c:ext xmlns:c16="http://schemas.microsoft.com/office/drawing/2014/chart" uri="{C3380CC4-5D6E-409C-BE32-E72D297353CC}">
              <c16:uniqueId val="{00000004-D595-40A0-891F-18D7C2D02DA7}"/>
            </c:ext>
          </c:extLst>
        </c:ser>
        <c:ser>
          <c:idx val="4"/>
          <c:order val="4"/>
          <c:tx>
            <c:strRef>
              <c:f>'2. Trade in Goods'!$A$15</c:f>
              <c:strCache>
                <c:ptCount val="1"/>
                <c:pt idx="0">
                  <c:v>Computers, electronics, optical etc.</c:v>
                </c:pt>
              </c:strCache>
            </c:strRef>
          </c:tx>
          <c:spPr>
            <a:solidFill>
              <a:schemeClr val="accent5"/>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Goods'!$B$15:$C$15</c:f>
              <c:numCache>
                <c:formatCode>_-[$£-809]* #,##0.0_-;\-[$£-809]* #,##0.0_-;_-[$£-809]* "-"??_-;_-@_-</c:formatCode>
                <c:ptCount val="2"/>
                <c:pt idx="0">
                  <c:v>12.66</c:v>
                </c:pt>
                <c:pt idx="1">
                  <c:v>14.35</c:v>
                </c:pt>
              </c:numCache>
            </c:numRef>
          </c:val>
          <c:extLst>
            <c:ext xmlns:c16="http://schemas.microsoft.com/office/drawing/2014/chart" uri="{C3380CC4-5D6E-409C-BE32-E72D297353CC}">
              <c16:uniqueId val="{00000007-D595-40A0-891F-18D7C2D02DA7}"/>
            </c:ext>
          </c:extLst>
        </c:ser>
        <c:ser>
          <c:idx val="5"/>
          <c:order val="5"/>
          <c:tx>
            <c:strRef>
              <c:f>'2. Trade in Goods'!$A$16</c:f>
              <c:strCache>
                <c:ptCount val="1"/>
                <c:pt idx="0">
                  <c:v>Pharmaceuticals</c:v>
                </c:pt>
              </c:strCache>
            </c:strRef>
          </c:tx>
          <c:spPr>
            <a:solidFill>
              <a:srgbClr val="FD6B6B"/>
            </a:solidFill>
            <a:ln>
              <a:solidFill>
                <a:srgbClr val="C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Goods'!$B$16:$C$16</c:f>
              <c:numCache>
                <c:formatCode>_-[$£-809]* #,##0.0_-;\-[$£-809]* #,##0.0_-;_-[$£-809]* "-"??_-;_-@_-</c:formatCode>
                <c:ptCount val="2"/>
                <c:pt idx="0">
                  <c:v>11.14</c:v>
                </c:pt>
                <c:pt idx="1">
                  <c:v>14.42</c:v>
                </c:pt>
              </c:numCache>
            </c:numRef>
          </c:val>
          <c:extLst>
            <c:ext xmlns:c16="http://schemas.microsoft.com/office/drawing/2014/chart" uri="{C3380CC4-5D6E-409C-BE32-E72D297353CC}">
              <c16:uniqueId val="{00000009-D595-40A0-891F-18D7C2D02DA7}"/>
            </c:ext>
          </c:extLst>
        </c:ser>
        <c:ser>
          <c:idx val="6"/>
          <c:order val="6"/>
          <c:tx>
            <c:strRef>
              <c:f>'2. Trade in Goods'!$A$17</c:f>
              <c:strCache>
                <c:ptCount val="1"/>
                <c:pt idx="0">
                  <c:v>Basic metals</c:v>
                </c:pt>
              </c:strCache>
            </c:strRef>
          </c:tx>
          <c:spPr>
            <a:solidFill>
              <a:schemeClr val="tx1">
                <a:lumMod val="75000"/>
                <a:lumOff val="25000"/>
              </a:schemeClr>
            </a:solidFill>
            <a:ln w="12700">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Goods'!$B$17:$C$17</c:f>
              <c:numCache>
                <c:formatCode>_-[$£-809]* #,##0.0_-;\-[$£-809]* #,##0.0_-;_-[$£-809]* "-"??_-;_-@_-</c:formatCode>
                <c:ptCount val="2"/>
                <c:pt idx="0">
                  <c:v>7.36</c:v>
                </c:pt>
                <c:pt idx="1">
                  <c:v>9.42</c:v>
                </c:pt>
              </c:numCache>
            </c:numRef>
          </c:val>
          <c:extLst>
            <c:ext xmlns:c16="http://schemas.microsoft.com/office/drawing/2014/chart" uri="{C3380CC4-5D6E-409C-BE32-E72D297353CC}">
              <c16:uniqueId val="{0000000B-D595-40A0-891F-18D7C2D02DA7}"/>
            </c:ext>
          </c:extLst>
        </c:ser>
        <c:ser>
          <c:idx val="7"/>
          <c:order val="7"/>
          <c:tx>
            <c:strRef>
              <c:f>'2. Trade in Goods'!$A$18</c:f>
              <c:strCache>
                <c:ptCount val="1"/>
                <c:pt idx="0">
                  <c:v>Food products</c:v>
                </c:pt>
              </c:strCache>
            </c:strRef>
          </c:tx>
          <c:spPr>
            <a:solidFill>
              <a:schemeClr val="accent6">
                <a:lumMod val="75000"/>
              </a:schemeClr>
            </a:solidFill>
            <a:ln w="12700">
              <a:solidFill>
                <a:schemeClr val="tx1">
                  <a:lumMod val="95000"/>
                  <a:lumOff val="5000"/>
                </a:schemeClr>
              </a:solid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1E-D595-40A0-891F-18D7C2D02DA7}"/>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Goods'!$B$18:$C$18</c:f>
              <c:numCache>
                <c:formatCode>_-[$£-809]* #,##0.0_-;\-[$£-809]* #,##0.0_-;_-[$£-809]* "-"??_-;_-@_-</c:formatCode>
                <c:ptCount val="2"/>
                <c:pt idx="0">
                  <c:v>9.7799999999999994</c:v>
                </c:pt>
                <c:pt idx="1">
                  <c:v>3.68</c:v>
                </c:pt>
              </c:numCache>
            </c:numRef>
          </c:val>
          <c:extLst>
            <c:ext xmlns:c16="http://schemas.microsoft.com/office/drawing/2014/chart" uri="{C3380CC4-5D6E-409C-BE32-E72D297353CC}">
              <c16:uniqueId val="{00000011-D595-40A0-891F-18D7C2D02DA7}"/>
            </c:ext>
          </c:extLst>
        </c:ser>
        <c:ser>
          <c:idx val="8"/>
          <c:order val="8"/>
          <c:tx>
            <c:strRef>
              <c:f>'2. Trade in Goods'!$A$19</c:f>
              <c:strCache>
                <c:ptCount val="1"/>
                <c:pt idx="0">
                  <c:v>Electrical goods</c:v>
                </c:pt>
              </c:strCache>
            </c:strRef>
          </c:tx>
          <c:spPr>
            <a:solidFill>
              <a:schemeClr val="accent6">
                <a:lumMod val="60000"/>
                <a:lumOff val="40000"/>
              </a:schemeClr>
            </a:solidFill>
            <a:ln w="12700">
              <a:solidFill>
                <a:schemeClr val="accent6">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Goods'!$B$19:$C$19</c:f>
              <c:numCache>
                <c:formatCode>_-[$£-809]* #,##0.0_-;\-[$£-809]* #,##0.0_-;_-[$£-809]* "-"??_-;_-@_-</c:formatCode>
                <c:ptCount val="2"/>
                <c:pt idx="0">
                  <c:v>5.81</c:v>
                </c:pt>
                <c:pt idx="1">
                  <c:v>6.54</c:v>
                </c:pt>
              </c:numCache>
            </c:numRef>
          </c:val>
          <c:extLst>
            <c:ext xmlns:c16="http://schemas.microsoft.com/office/drawing/2014/chart" uri="{C3380CC4-5D6E-409C-BE32-E72D297353CC}">
              <c16:uniqueId val="{00000012-D595-40A0-891F-18D7C2D02DA7}"/>
            </c:ext>
          </c:extLst>
        </c:ser>
        <c:ser>
          <c:idx val="9"/>
          <c:order val="9"/>
          <c:tx>
            <c:strRef>
              <c:f>'2. Trade in Goods'!$A$20</c:f>
              <c:strCache>
                <c:ptCount val="1"/>
                <c:pt idx="0">
                  <c:v>Beverages</c:v>
                </c:pt>
              </c:strCache>
            </c:strRef>
          </c:tx>
          <c:spPr>
            <a:solidFill>
              <a:srgbClr val="78082B"/>
            </a:solidFill>
            <a:ln w="12700">
              <a:solidFill>
                <a:srgbClr val="8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Goods'!$B$20:$C$20</c:f>
              <c:numCache>
                <c:formatCode>_-[$£-809]* #,##0.0_-;\-[$£-809]* #,##0.0_-;_-[$£-809]* "-"??_-;_-@_-</c:formatCode>
                <c:ptCount val="2"/>
                <c:pt idx="0">
                  <c:v>2.95</c:v>
                </c:pt>
                <c:pt idx="1">
                  <c:v>5.25</c:v>
                </c:pt>
              </c:numCache>
            </c:numRef>
          </c:val>
          <c:extLst>
            <c:ext xmlns:c16="http://schemas.microsoft.com/office/drawing/2014/chart" uri="{C3380CC4-5D6E-409C-BE32-E72D297353CC}">
              <c16:uniqueId val="{00000013-D595-40A0-891F-18D7C2D02DA7}"/>
            </c:ext>
          </c:extLst>
        </c:ser>
        <c:ser>
          <c:idx val="10"/>
          <c:order val="10"/>
          <c:tx>
            <c:strRef>
              <c:f>'2. Trade in Goods'!$A$21</c:f>
              <c:strCache>
                <c:ptCount val="1"/>
                <c:pt idx="0">
                  <c:v>Other manufactured products</c:v>
                </c:pt>
              </c:strCache>
            </c:strRef>
          </c:tx>
          <c:spPr>
            <a:solidFill>
              <a:schemeClr val="accent5">
                <a:lumMod val="40000"/>
                <a:lumOff val="60000"/>
              </a:schemeClr>
            </a:solidFill>
            <a:ln w="12700">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Goods'!$B$21:$C$21</c:f>
              <c:numCache>
                <c:formatCode>_-[$£-809]* #,##0.0_-;\-[$£-809]* #,##0.0_-;_-[$£-809]* "-"??_-;_-@_-</c:formatCode>
                <c:ptCount val="2"/>
                <c:pt idx="0">
                  <c:v>36.86</c:v>
                </c:pt>
                <c:pt idx="1">
                  <c:v>24.642999999999972</c:v>
                </c:pt>
              </c:numCache>
            </c:numRef>
          </c:val>
          <c:extLst>
            <c:ext xmlns:c16="http://schemas.microsoft.com/office/drawing/2014/chart" uri="{C3380CC4-5D6E-409C-BE32-E72D297353CC}">
              <c16:uniqueId val="{00000014-D595-40A0-891F-18D7C2D02DA7}"/>
            </c:ext>
          </c:extLst>
        </c:ser>
        <c:ser>
          <c:idx val="11"/>
          <c:order val="11"/>
          <c:tx>
            <c:strRef>
              <c:f>'2. Trade in Goods'!$A$22</c:f>
              <c:strCache>
                <c:ptCount val="1"/>
                <c:pt idx="0">
                  <c:v>Products of agriculture, forestry &amp; fishing</c:v>
                </c:pt>
              </c:strCache>
            </c:strRef>
          </c:tx>
          <c:spPr>
            <a:solidFill>
              <a:schemeClr val="tx1"/>
            </a:solidFill>
            <a:ln w="12700">
              <a:solidFill>
                <a:schemeClr val="tx1">
                  <a:lumMod val="85000"/>
                  <a:lumOff val="1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Goods'!$B$22:$C$22</c:f>
              <c:numCache>
                <c:formatCode>_-[$£-809]* #,##0.0_-;\-[$£-809]* #,##0.0_-;_-[$£-809]* "-"??_-;_-@_-</c:formatCode>
                <c:ptCount val="2"/>
                <c:pt idx="0">
                  <c:v>2.1240000000000001</c:v>
                </c:pt>
                <c:pt idx="1">
                  <c:v>0.84799999999999998</c:v>
                </c:pt>
              </c:numCache>
            </c:numRef>
          </c:val>
          <c:extLst>
            <c:ext xmlns:c16="http://schemas.microsoft.com/office/drawing/2014/chart" uri="{C3380CC4-5D6E-409C-BE32-E72D297353CC}">
              <c16:uniqueId val="{00000000-F660-4387-8A9C-66BB94EEE4F5}"/>
            </c:ext>
          </c:extLst>
        </c:ser>
        <c:ser>
          <c:idx val="12"/>
          <c:order val="12"/>
          <c:tx>
            <c:strRef>
              <c:f>'2. Trade in Goods'!$A$23</c:f>
              <c:strCache>
                <c:ptCount val="1"/>
                <c:pt idx="0">
                  <c:v>Mining &amp; quarrying (Inc. crude oil &amp; gas)</c:v>
                </c:pt>
              </c:strCache>
            </c:strRef>
          </c:tx>
          <c:spPr>
            <a:solidFill>
              <a:schemeClr val="tx1">
                <a:lumMod val="65000"/>
                <a:lumOff val="35000"/>
              </a:schemeClr>
            </a:solidFill>
            <a:ln w="12700">
              <a:solidFill>
                <a:schemeClr val="tx1">
                  <a:lumMod val="85000"/>
                  <a:lumOff val="1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Goods'!$B$23:$C$23</c:f>
              <c:numCache>
                <c:formatCode>_-[$£-809]* #,##0.0_-;\-[$£-809]* #,##0.0_-;_-[$£-809]* "-"??_-;_-@_-</c:formatCode>
                <c:ptCount val="2"/>
                <c:pt idx="0">
                  <c:v>15.9</c:v>
                </c:pt>
                <c:pt idx="1">
                  <c:v>7.5650000000000004</c:v>
                </c:pt>
              </c:numCache>
            </c:numRef>
          </c:val>
          <c:extLst>
            <c:ext xmlns:c16="http://schemas.microsoft.com/office/drawing/2014/chart" uri="{C3380CC4-5D6E-409C-BE32-E72D297353CC}">
              <c16:uniqueId val="{00000001-F660-4387-8A9C-66BB94EEE4F5}"/>
            </c:ext>
          </c:extLst>
        </c:ser>
        <c:ser>
          <c:idx val="13"/>
          <c:order val="13"/>
          <c:tx>
            <c:strRef>
              <c:f>'2. Trade in Goods'!$A$24</c:f>
              <c:strCache>
                <c:ptCount val="1"/>
                <c:pt idx="0">
                  <c:v>Electricity, gas, steam &amp; air conditioning</c:v>
                </c:pt>
              </c:strCache>
            </c:strRef>
          </c:tx>
          <c:spPr>
            <a:solidFill>
              <a:schemeClr val="accent2">
                <a:lumMod val="80000"/>
                <a:lumOff val="20000"/>
              </a:schemeClr>
            </a:solidFill>
            <a:ln>
              <a:noFill/>
            </a:ln>
            <a:effectLst/>
          </c:spPr>
          <c:invertIfNegative val="0"/>
          <c:dLbls>
            <c:delete val="1"/>
          </c:dLbls>
          <c:val>
            <c:numRef>
              <c:f>'2. Trade in Goods'!$B$24:$C$24</c:f>
              <c:numCache>
                <c:formatCode>_-[$£-809]* #,##0.0_-;\-[$£-809]* #,##0.0_-;_-[$£-809]* "-"??_-;_-@_-</c:formatCode>
                <c:ptCount val="2"/>
                <c:pt idx="0">
                  <c:v>0.13</c:v>
                </c:pt>
                <c:pt idx="1">
                  <c:v>0</c:v>
                </c:pt>
              </c:numCache>
            </c:numRef>
          </c:val>
          <c:extLst>
            <c:ext xmlns:c16="http://schemas.microsoft.com/office/drawing/2014/chart" uri="{C3380CC4-5D6E-409C-BE32-E72D297353CC}">
              <c16:uniqueId val="{00000002-F660-4387-8A9C-66BB94EEE4F5}"/>
            </c:ext>
          </c:extLst>
        </c:ser>
        <c:ser>
          <c:idx val="14"/>
          <c:order val="14"/>
          <c:tx>
            <c:strRef>
              <c:f>'2. Trade in Goods'!$A$25</c:f>
              <c:strCache>
                <c:ptCount val="1"/>
                <c:pt idx="0">
                  <c:v>Water supply, sewerage &amp; waste management</c:v>
                </c:pt>
              </c:strCache>
            </c:strRef>
          </c:tx>
          <c:spPr>
            <a:solidFill>
              <a:schemeClr val="bg1">
                <a:lumMod val="75000"/>
              </a:schemeClr>
            </a:solidFill>
            <a:ln w="12700">
              <a:solidFill>
                <a:schemeClr val="tx1">
                  <a:lumMod val="65000"/>
                  <a:lumOff val="35000"/>
                </a:schemeClr>
              </a:solidFill>
            </a:ln>
            <a:effectLst/>
          </c:spPr>
          <c:invertIfNegative val="0"/>
          <c:dLbls>
            <c:delete val="1"/>
          </c:dLbls>
          <c:val>
            <c:numRef>
              <c:f>'2. Trade in Goods'!$B$25:$C$25</c:f>
              <c:numCache>
                <c:formatCode>_-[$£-809]* #,##0.0_-;\-[$£-809]* #,##0.0_-;_-[$£-809]* "-"??_-;_-@_-</c:formatCode>
                <c:ptCount val="2"/>
                <c:pt idx="0">
                  <c:v>1.41</c:v>
                </c:pt>
                <c:pt idx="1">
                  <c:v>4.1820000000000004</c:v>
                </c:pt>
              </c:numCache>
            </c:numRef>
          </c:val>
          <c:extLst>
            <c:ext xmlns:c16="http://schemas.microsoft.com/office/drawing/2014/chart" uri="{C3380CC4-5D6E-409C-BE32-E72D297353CC}">
              <c16:uniqueId val="{00000003-F660-4387-8A9C-66BB94EEE4F5}"/>
            </c:ext>
          </c:extLst>
        </c:ser>
        <c:ser>
          <c:idx val="15"/>
          <c:order val="15"/>
          <c:tx>
            <c:strRef>
              <c:f>'2. Trade in Goods'!$A$26</c:f>
              <c:strCache>
                <c:ptCount val="1"/>
                <c:pt idx="0">
                  <c:v>Information &amp; communication services</c:v>
                </c:pt>
              </c:strCache>
            </c:strRef>
          </c:tx>
          <c:spPr>
            <a:solidFill>
              <a:schemeClr val="accent4">
                <a:lumMod val="80000"/>
                <a:lumOff val="20000"/>
              </a:schemeClr>
            </a:solidFill>
            <a:ln w="12700">
              <a:solidFill>
                <a:srgbClr val="F1581B"/>
              </a:solidFill>
            </a:ln>
            <a:effectLst/>
          </c:spPr>
          <c:invertIfNegative val="0"/>
          <c:dLbls>
            <c:delete val="1"/>
          </c:dLbls>
          <c:val>
            <c:numRef>
              <c:f>'2. Trade in Goods'!$B$26:$C$26</c:f>
              <c:numCache>
                <c:formatCode>_-[$£-809]* #,##0.0_-;\-[$£-809]* #,##0.0_-;_-[$£-809]* "-"??_-;_-@_-</c:formatCode>
                <c:ptCount val="2"/>
                <c:pt idx="0">
                  <c:v>1.786</c:v>
                </c:pt>
                <c:pt idx="1">
                  <c:v>1.9039999999999999</c:v>
                </c:pt>
              </c:numCache>
            </c:numRef>
          </c:val>
          <c:extLst>
            <c:ext xmlns:c16="http://schemas.microsoft.com/office/drawing/2014/chart" uri="{C3380CC4-5D6E-409C-BE32-E72D297353CC}">
              <c16:uniqueId val="{00000004-F660-4387-8A9C-66BB94EEE4F5}"/>
            </c:ext>
          </c:extLst>
        </c:ser>
        <c:ser>
          <c:idx val="16"/>
          <c:order val="16"/>
          <c:tx>
            <c:strRef>
              <c:f>'2. Trade in Goods'!$A$27</c:f>
              <c:strCache>
                <c:ptCount val="1"/>
                <c:pt idx="0">
                  <c:v>Arts, entertainment &amp; recreation</c:v>
                </c:pt>
              </c:strCache>
            </c:strRef>
          </c:tx>
          <c:spPr>
            <a:solidFill>
              <a:srgbClr val="663300"/>
            </a:solidFill>
            <a:ln w="12700">
              <a:solidFill>
                <a:srgbClr val="450701"/>
              </a:solidFill>
            </a:ln>
            <a:effectLst/>
          </c:spPr>
          <c:invertIfNegative val="0"/>
          <c:dLbls>
            <c:delete val="1"/>
          </c:dLbls>
          <c:val>
            <c:numRef>
              <c:f>'2. Trade in Goods'!$B$27:$C$27</c:f>
              <c:numCache>
                <c:formatCode>_-[$£-809]* #,##0.0_-;\-[$£-809]* #,##0.0_-;_-[$£-809]* "-"??_-;_-@_-</c:formatCode>
                <c:ptCount val="2"/>
                <c:pt idx="0">
                  <c:v>0.24299999999999999</c:v>
                </c:pt>
                <c:pt idx="1">
                  <c:v>5.5640000000000001</c:v>
                </c:pt>
              </c:numCache>
            </c:numRef>
          </c:val>
          <c:extLst>
            <c:ext xmlns:c16="http://schemas.microsoft.com/office/drawing/2014/chart" uri="{C3380CC4-5D6E-409C-BE32-E72D297353CC}">
              <c16:uniqueId val="{00000005-F660-4387-8A9C-66BB94EEE4F5}"/>
            </c:ext>
          </c:extLst>
        </c:ser>
        <c:dLbls>
          <c:dLblPos val="ctr"/>
          <c:showLegendKey val="0"/>
          <c:showVal val="1"/>
          <c:showCatName val="0"/>
          <c:showSerName val="0"/>
          <c:showPercent val="0"/>
          <c:showBubbleSize val="0"/>
        </c:dLbls>
        <c:gapWidth val="85"/>
        <c:overlap val="100"/>
        <c:axId val="592131296"/>
        <c:axId val="592132608"/>
      </c:barChart>
      <c:catAx>
        <c:axId val="592131296"/>
        <c:scaling>
          <c:orientation val="maxMin"/>
        </c:scaling>
        <c:delete val="1"/>
        <c:axPos val="l"/>
        <c:numFmt formatCode="General" sourceLinked="1"/>
        <c:majorTickMark val="none"/>
        <c:minorTickMark val="none"/>
        <c:tickLblPos val="nextTo"/>
        <c:crossAx val="592132608"/>
        <c:crosses val="autoZero"/>
        <c:auto val="1"/>
        <c:lblAlgn val="ctr"/>
        <c:lblOffset val="100"/>
        <c:noMultiLvlLbl val="0"/>
      </c:catAx>
      <c:valAx>
        <c:axId val="592132608"/>
        <c:scaling>
          <c:orientation val="minMax"/>
          <c:max val="180"/>
        </c:scaling>
        <c:delete val="0"/>
        <c:axPos val="t"/>
        <c:majorGridlines>
          <c:spPr>
            <a:ln w="9525" cap="flat" cmpd="sng" algn="ctr">
              <a:solidFill>
                <a:schemeClr val="tx1">
                  <a:lumMod val="15000"/>
                  <a:lumOff val="85000"/>
                </a:schemeClr>
              </a:solidFill>
              <a:round/>
            </a:ln>
            <a:effectLst/>
          </c:spPr>
        </c:majorGridlines>
        <c:numFmt formatCode="_-[$£-809]* #,##0_-;\-[$£-809]* #,##0_-;_-[$£-809]* &quot;-&quot;_-;_-@_-"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92131296"/>
        <c:crosses val="autoZero"/>
        <c:crossBetween val="between"/>
      </c:valAx>
      <c:spPr>
        <a:noFill/>
        <a:ln>
          <a:noFill/>
        </a:ln>
        <a:effectLst/>
      </c:spPr>
    </c:plotArea>
    <c:legend>
      <c:legendPos val="b"/>
      <c:layout>
        <c:manualLayout>
          <c:xMode val="edge"/>
          <c:yMode val="edge"/>
          <c:x val="1.3799404770231999E-3"/>
          <c:y val="0.73066508052878365"/>
          <c:w val="0.88097278672613966"/>
          <c:h val="0.2693349194712164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UK-EU trade in goods: 1998 – 2017</a:t>
            </a:r>
          </a:p>
          <a:p>
            <a:pPr marL="0" marR="0" lvl="0" indent="0" algn="ctr" defTabSz="914400" rtl="0" eaLnBrk="1" fontAlgn="auto" latinLnBrk="0" hangingPunct="1">
              <a:lnSpc>
                <a:spcPct val="100000"/>
              </a:lnSpc>
              <a:spcBef>
                <a:spcPts val="0"/>
              </a:spcBef>
              <a:spcAft>
                <a:spcPts val="0"/>
              </a:spcAft>
              <a:buClrTx/>
              <a:buSzTx/>
              <a:buFontTx/>
              <a:buNone/>
              <a:tabLst/>
              <a:defRPr lang="en-AU" b="1">
                <a:solidFill>
                  <a:sysClr val="windowText" lastClr="000000">
                    <a:lumMod val="65000"/>
                    <a:lumOff val="35000"/>
                  </a:sysClr>
                </a:solidFill>
              </a:defRPr>
            </a:pPr>
            <a:endParaRPr lang="en-AU" sz="1400" b="1" i="0" u="none" strike="noStrike" kern="1200" spc="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7.7586723911118996E-2"/>
          <c:y val="0.14883078394891275"/>
          <c:w val="0.90585532259978119"/>
          <c:h val="0.63545037472922417"/>
        </c:manualLayout>
      </c:layout>
      <c:barChart>
        <c:barDir val="col"/>
        <c:grouping val="clustered"/>
        <c:varyColors val="0"/>
        <c:ser>
          <c:idx val="0"/>
          <c:order val="0"/>
          <c:tx>
            <c:strRef>
              <c:f>'2. Trade in Goods'!$A$138</c:f>
              <c:strCache>
                <c:ptCount val="1"/>
                <c:pt idx="0">
                  <c:v>Total goods exports to EU</c:v>
                </c:pt>
              </c:strCache>
            </c:strRef>
          </c:tx>
          <c:spPr>
            <a:solidFill>
              <a:srgbClr val="800000"/>
            </a:solidFill>
            <a:ln>
              <a:solidFill>
                <a:srgbClr val="990000"/>
              </a:solidFill>
            </a:ln>
            <a:effectLst/>
          </c:spPr>
          <c:invertIfNegative val="0"/>
          <c:cat>
            <c:strRef>
              <c:f>'2.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'2. Trade in Goods'!$B$138:$U$138</c:f>
              <c:numCache>
                <c:formatCode>0.00</c:formatCode>
                <c:ptCount val="20"/>
                <c:pt idx="0">
                  <c:v>135.46820027063598</c:v>
                </c:pt>
                <c:pt idx="1">
                  <c:v>137.94070080862534</c:v>
                </c:pt>
                <c:pt idx="2">
                  <c:v>148.46578947368423</c:v>
                </c:pt>
                <c:pt idx="3">
                  <c:v>148.94248366013073</c:v>
                </c:pt>
                <c:pt idx="4">
                  <c:v>152.20954907161806</c:v>
                </c:pt>
                <c:pt idx="5">
                  <c:v>145.72193211488252</c:v>
                </c:pt>
                <c:pt idx="6">
                  <c:v>147.79473684210527</c:v>
                </c:pt>
                <c:pt idx="7">
                  <c:v>155.1145038167939</c:v>
                </c:pt>
                <c:pt idx="8">
                  <c:v>191.49438202247194</c:v>
                </c:pt>
                <c:pt idx="9">
                  <c:v>161.83838383838381</c:v>
                </c:pt>
                <c:pt idx="10">
                  <c:v>163.87111622554659</c:v>
                </c:pt>
                <c:pt idx="11">
                  <c:v>139.3170731707317</c:v>
                </c:pt>
                <c:pt idx="12">
                  <c:v>152.27397260273972</c:v>
                </c:pt>
                <c:pt idx="13">
                  <c:v>163.20941883767537</c:v>
                </c:pt>
                <c:pt idx="14">
                  <c:v>153.57603222557907</c:v>
                </c:pt>
                <c:pt idx="15">
                  <c:v>148.98817733990151</c:v>
                </c:pt>
                <c:pt idx="16">
                  <c:v>148.95740365111564</c:v>
                </c:pt>
                <c:pt idx="17">
                  <c:v>141.74337221633084</c:v>
                </c:pt>
                <c:pt idx="18">
                  <c:v>142.70500000000001</c:v>
                </c:pt>
                <c:pt idx="19">
                  <c:v>156.26761904761904</c:v>
                </c:pt>
              </c:numCache>
            </c:numRef>
          </c:val>
          <c:extLst>
            <c:ext xmlns:c16="http://schemas.microsoft.com/office/drawing/2014/chart" uri="{C3380CC4-5D6E-409C-BE32-E72D297353CC}">
              <c16:uniqueId val="{00000000-DF00-435B-BE9B-01A5A3F1FB93}"/>
            </c:ext>
          </c:extLst>
        </c:ser>
        <c:ser>
          <c:idx val="1"/>
          <c:order val="1"/>
          <c:tx>
            <c:strRef>
              <c:f>'2. Trade in Goods'!$A$139</c:f>
              <c:strCache>
                <c:ptCount val="1"/>
                <c:pt idx="0">
                  <c:v>Total goods imports from EU</c:v>
                </c:pt>
              </c:strCache>
            </c:strRef>
          </c:tx>
          <c:spPr>
            <a:solidFill>
              <a:srgbClr val="002060"/>
            </a:solidFill>
            <a:ln>
              <a:noFill/>
            </a:ln>
            <a:effectLst/>
          </c:spPr>
          <c:invertIfNegative val="0"/>
          <c:cat>
            <c:strRef>
              <c:f>'2.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'2. Trade in Goods'!$B$139:$U$139</c:f>
              <c:numCache>
                <c:formatCode>0.00</c:formatCode>
                <c:ptCount val="20"/>
                <c:pt idx="0">
                  <c:v>131.91510611735333</c:v>
                </c:pt>
                <c:pt idx="1">
                  <c:v>138.47236180904525</c:v>
                </c:pt>
                <c:pt idx="2">
                  <c:v>144.62668298653608</c:v>
                </c:pt>
                <c:pt idx="3">
                  <c:v>156.85049019607843</c:v>
                </c:pt>
                <c:pt idx="4">
                  <c:v>175.32408575031528</c:v>
                </c:pt>
                <c:pt idx="5">
                  <c:v>175.56423173803526</c:v>
                </c:pt>
                <c:pt idx="6">
                  <c:v>183.9808429118774</c:v>
                </c:pt>
                <c:pt idx="7">
                  <c:v>196.89259259259259</c:v>
                </c:pt>
                <c:pt idx="8">
                  <c:v>223.36341756919376</c:v>
                </c:pt>
                <c:pt idx="9">
                  <c:v>204.17224880382776</c:v>
                </c:pt>
                <c:pt idx="10">
                  <c:v>194.66773162939296</c:v>
                </c:pt>
                <c:pt idx="11">
                  <c:v>172.47181628392485</c:v>
                </c:pt>
                <c:pt idx="12">
                  <c:v>189.59879032258064</c:v>
                </c:pt>
                <c:pt idx="13">
                  <c:v>192.06880301602263</c:v>
                </c:pt>
                <c:pt idx="14">
                  <c:v>198.30769230769232</c:v>
                </c:pt>
                <c:pt idx="15">
                  <c:v>205.78927563499531</c:v>
                </c:pt>
                <c:pt idx="16">
                  <c:v>220.02257114818448</c:v>
                </c:pt>
                <c:pt idx="17">
                  <c:v>229.71041666666667</c:v>
                </c:pt>
                <c:pt idx="18">
                  <c:v>237.06700000000001</c:v>
                </c:pt>
                <c:pt idx="19">
                  <c:v>245.54743833017079</c:v>
                </c:pt>
              </c:numCache>
            </c:numRef>
          </c:val>
          <c:extLst>
            <c:ext xmlns:c16="http://schemas.microsoft.com/office/drawing/2014/chart" uri="{C3380CC4-5D6E-409C-BE32-E72D297353CC}">
              <c16:uniqueId val="{00000001-DF00-435B-BE9B-01A5A3F1FB93}"/>
            </c:ext>
          </c:extLst>
        </c:ser>
        <c:ser>
          <c:idx val="2"/>
          <c:order val="2"/>
          <c:tx>
            <c:strRef>
              <c:f>'2. Trade in Goods'!$A$140</c:f>
              <c:strCache>
                <c:ptCount val="1"/>
                <c:pt idx="0">
                  <c:v> Balance </c:v>
                </c:pt>
              </c:strCache>
            </c:strRef>
          </c:tx>
          <c:spPr>
            <a:solidFill>
              <a:schemeClr val="accent3"/>
            </a:solidFill>
            <a:ln>
              <a:solidFill>
                <a:schemeClr val="tx1">
                  <a:lumMod val="75000"/>
                  <a:lumOff val="25000"/>
                </a:schemeClr>
              </a:solidFill>
            </a:ln>
            <a:effectLst/>
          </c:spPr>
          <c:invertIfNegative val="0"/>
          <c:cat>
            <c:strRef>
              <c:f>'2.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'2. Trade in Goods'!$B$140:$U$140</c:f>
              <c:numCache>
                <c:formatCode>0.00</c:formatCode>
                <c:ptCount val="20"/>
                <c:pt idx="0">
                  <c:v>3.5530941532826432</c:v>
                </c:pt>
                <c:pt idx="1">
                  <c:v>-0.53166100041991626</c:v>
                </c:pt>
                <c:pt idx="2">
                  <c:v>3.8391064871481433</c:v>
                </c:pt>
                <c:pt idx="3">
                  <c:v>-7.9080065359476919</c:v>
                </c:pt>
                <c:pt idx="4">
                  <c:v>-23.11453667869722</c:v>
                </c:pt>
                <c:pt idx="5">
                  <c:v>-29.842299623152741</c:v>
                </c:pt>
                <c:pt idx="6">
                  <c:v>-36.186106069772137</c:v>
                </c:pt>
                <c:pt idx="7">
                  <c:v>-41.778088775798693</c:v>
                </c:pt>
                <c:pt idx="8">
                  <c:v>-31.869035546721818</c:v>
                </c:pt>
                <c:pt idx="9">
                  <c:v>-42.333864965443951</c:v>
                </c:pt>
                <c:pt idx="10">
                  <c:v>-30.796615403846374</c:v>
                </c:pt>
                <c:pt idx="11">
                  <c:v>-33.154743113193149</c:v>
                </c:pt>
                <c:pt idx="12">
                  <c:v>-37.324817719840922</c:v>
                </c:pt>
                <c:pt idx="13">
                  <c:v>-28.859384178347256</c:v>
                </c:pt>
                <c:pt idx="14">
                  <c:v>-44.731660082113251</c:v>
                </c:pt>
                <c:pt idx="15">
                  <c:v>-56.801098295093794</c:v>
                </c:pt>
                <c:pt idx="16">
                  <c:v>-71.065167497068842</c:v>
                </c:pt>
                <c:pt idx="17">
                  <c:v>-87.967044450335834</c:v>
                </c:pt>
                <c:pt idx="18">
                  <c:v>-94.361999999999995</c:v>
                </c:pt>
                <c:pt idx="19" formatCode="_-[$£-809]* #,##0.00_-;\-[$£-809]* #,##0.00_-;_-[$£-809]* &quot;-&quot;??_-;_-@_-">
                  <c:v>-89.279819282551756</c:v>
                </c:pt>
              </c:numCache>
            </c:numRef>
          </c:val>
          <c:extLst>
            <c:ext xmlns:c16="http://schemas.microsoft.com/office/drawing/2014/chart" uri="{C3380CC4-5D6E-409C-BE32-E72D297353CC}">
              <c16:uniqueId val="{00000002-DF00-435B-BE9B-01A5A3F1FB93}"/>
            </c:ext>
          </c:extLst>
        </c:ser>
        <c:dLbls>
          <c:showLegendKey val="0"/>
          <c:showVal val="0"/>
          <c:showCatName val="0"/>
          <c:showSerName val="0"/>
          <c:showPercent val="0"/>
          <c:showBubbleSize val="0"/>
        </c:dLbls>
        <c:gapWidth val="219"/>
        <c:overlap val="-27"/>
        <c:axId val="516891728"/>
        <c:axId val="516890416"/>
      </c:barChart>
      <c:catAx>
        <c:axId val="51689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crossAx val="516890416"/>
        <c:crosses val="autoZero"/>
        <c:auto val="1"/>
        <c:lblAlgn val="ctr"/>
        <c:lblOffset val="1000"/>
        <c:noMultiLvlLbl val="0"/>
      </c:catAx>
      <c:valAx>
        <c:axId val="516890416"/>
        <c:scaling>
          <c:orientation val="minMax"/>
          <c:max val="25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AU" b="1"/>
                  <a:t>£ billion</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689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solidFill>
                  <a:schemeClr val="tx1">
                    <a:lumMod val="75000"/>
                    <a:lumOff val="25000"/>
                  </a:schemeClr>
                </a:solidFill>
              </a:rPr>
              <a:t>Annual Growth Rates</a:t>
            </a:r>
            <a:r>
              <a:rPr lang="en-AU" b="1" baseline="0">
                <a:solidFill>
                  <a:schemeClr val="tx1">
                    <a:lumMod val="75000"/>
                    <a:lumOff val="25000"/>
                  </a:schemeClr>
                </a:solidFill>
              </a:rPr>
              <a:t>, 1999 </a:t>
            </a:r>
            <a:r>
              <a:rPr lang="en-AU" b="1" baseline="0">
                <a:solidFill>
                  <a:schemeClr val="tx1">
                    <a:lumMod val="75000"/>
                    <a:lumOff val="25000"/>
                  </a:schemeClr>
                </a:solidFill>
                <a:latin typeface="Calibri" panose="020F0502020204030204" pitchFamily="34" charset="0"/>
                <a:cs typeface="Calibri" panose="020F0502020204030204" pitchFamily="34" charset="0"/>
              </a:rPr>
              <a:t>‒ 2018</a:t>
            </a:r>
            <a:endParaRPr lang="en-AU" b="1">
              <a:solidFill>
                <a:schemeClr val="tx1">
                  <a:lumMod val="75000"/>
                  <a:lumOff val="25000"/>
                </a:schemeClr>
              </a:solidFill>
            </a:endParaRPr>
          </a:p>
        </c:rich>
      </c:tx>
      <c:layout>
        <c:manualLayout>
          <c:xMode val="edge"/>
          <c:yMode val="edge"/>
          <c:x val="0.21011789151356078"/>
          <c:y val="5.504587155963303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002060"/>
            </a:solidFill>
            <a:ln>
              <a:noFill/>
            </a:ln>
            <a:effectLst/>
          </c:spPr>
          <c:invertIfNegative val="0"/>
          <c:dPt>
            <c:idx val="1"/>
            <c:invertIfNegative val="0"/>
            <c:bubble3D val="0"/>
            <c:spPr>
              <a:solidFill>
                <a:srgbClr val="800000"/>
              </a:solidFill>
              <a:ln>
                <a:noFill/>
              </a:ln>
              <a:effectLst/>
            </c:spPr>
            <c:extLst>
              <c:ext xmlns:c16="http://schemas.microsoft.com/office/drawing/2014/chart" uri="{C3380CC4-5D6E-409C-BE32-E72D297353CC}">
                <c16:uniqueId val="{00000001-6DBE-48DE-8A1D-D97FF14FBD6E}"/>
              </c:ext>
            </c:extLst>
          </c:dPt>
          <c:dPt>
            <c:idx val="2"/>
            <c:invertIfNegative val="0"/>
            <c:bubble3D val="0"/>
            <c:spPr>
              <a:solidFill>
                <a:srgbClr val="062B03"/>
              </a:solidFill>
              <a:ln>
                <a:noFill/>
              </a:ln>
              <a:effectLst/>
            </c:spPr>
            <c:extLst>
              <c:ext xmlns:c16="http://schemas.microsoft.com/office/drawing/2014/chart" uri="{C3380CC4-5D6E-409C-BE32-E72D297353CC}">
                <c16:uniqueId val="{00000002-6DBE-48DE-8A1D-D97FF14FBD6E}"/>
              </c:ext>
            </c:extLst>
          </c:dPt>
          <c:dPt>
            <c:idx val="3"/>
            <c:invertIfNegative val="0"/>
            <c:bubble3D val="0"/>
            <c:spPr>
              <a:solidFill>
                <a:schemeClr val="accent2">
                  <a:lumMod val="50000"/>
                </a:schemeClr>
              </a:solidFill>
              <a:ln>
                <a:noFill/>
              </a:ln>
              <a:effectLst/>
            </c:spPr>
            <c:extLst>
              <c:ext xmlns:c16="http://schemas.microsoft.com/office/drawing/2014/chart" uri="{C3380CC4-5D6E-409C-BE32-E72D297353CC}">
                <c16:uniqueId val="{00000003-6DBE-48DE-8A1D-D97FF14FBD6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Goods'!$A$258:$A$261</c:f>
              <c:strCache>
                <c:ptCount val="4"/>
                <c:pt idx="0">
                  <c:v>UK Goods Exports to EU</c:v>
                </c:pt>
                <c:pt idx="1">
                  <c:v>UK Productivity </c:v>
                </c:pt>
                <c:pt idx="2">
                  <c:v>Eurozone GDP*</c:v>
                </c:pt>
                <c:pt idx="3">
                  <c:v>US Goods Exports to EU </c:v>
                </c:pt>
              </c:strCache>
            </c:strRef>
          </c:cat>
          <c:val>
            <c:numRef>
              <c:f>'2. Trade in Goods'!$B$258:$B$261</c:f>
              <c:numCache>
                <c:formatCode>0.00%</c:formatCode>
                <c:ptCount val="4"/>
                <c:pt idx="0">
                  <c:v>3.1002118786171984E-3</c:v>
                </c:pt>
                <c:pt idx="1">
                  <c:v>1.0400000000000003E-2</c:v>
                </c:pt>
                <c:pt idx="2">
                  <c:v>1.5599999999999999E-2</c:v>
                </c:pt>
                <c:pt idx="3">
                  <c:v>2.2429599800198652E-2</c:v>
                </c:pt>
              </c:numCache>
            </c:numRef>
          </c:val>
          <c:extLst>
            <c:ext xmlns:c16="http://schemas.microsoft.com/office/drawing/2014/chart" uri="{C3380CC4-5D6E-409C-BE32-E72D297353CC}">
              <c16:uniqueId val="{00000000-6DBE-48DE-8A1D-D97FF14FBD6E}"/>
            </c:ext>
          </c:extLst>
        </c:ser>
        <c:dLbls>
          <c:showLegendKey val="0"/>
          <c:showVal val="0"/>
          <c:showCatName val="0"/>
          <c:showSerName val="0"/>
          <c:showPercent val="0"/>
          <c:showBubbleSize val="0"/>
        </c:dLbls>
        <c:gapWidth val="117"/>
        <c:overlap val="-27"/>
        <c:axId val="575806384"/>
        <c:axId val="575803432"/>
      </c:barChart>
      <c:catAx>
        <c:axId val="57580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crossAx val="575803432"/>
        <c:crosses val="autoZero"/>
        <c:auto val="1"/>
        <c:lblAlgn val="ctr"/>
        <c:lblOffset val="100"/>
        <c:noMultiLvlLbl val="0"/>
      </c:catAx>
      <c:valAx>
        <c:axId val="575803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crossAx val="5758063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r>
              <a:rPr lang="en-AU" sz="1800" b="0" i="0" baseline="0">
                <a:solidFill>
                  <a:schemeClr val="tx1">
                    <a:lumMod val="75000"/>
                    <a:lumOff val="25000"/>
                  </a:schemeClr>
                </a:solidFill>
                <a:effectLst/>
              </a:rPr>
              <a:t>Comparative Nominal Goods Exports to EU: </a:t>
            </a:r>
          </a:p>
          <a:p>
            <a:pPr>
              <a:defRPr>
                <a:solidFill>
                  <a:schemeClr val="tx1">
                    <a:lumMod val="75000"/>
                    <a:lumOff val="25000"/>
                  </a:schemeClr>
                </a:solidFill>
              </a:defRPr>
            </a:pPr>
            <a:r>
              <a:rPr lang="en-AU" sz="1800" b="0" i="0" baseline="0">
                <a:solidFill>
                  <a:schemeClr val="tx1">
                    <a:lumMod val="75000"/>
                    <a:lumOff val="25000"/>
                  </a:schemeClr>
                </a:solidFill>
                <a:effectLst/>
              </a:rPr>
              <a:t>UK &amp; US, 1999‒2018</a:t>
            </a:r>
            <a:endParaRPr lang="en-AU">
              <a:solidFill>
                <a:schemeClr val="tx1">
                  <a:lumMod val="75000"/>
                  <a:lumOff val="25000"/>
                </a:schemeClr>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'2. Trade in Goods'!$D$306</c:f>
              <c:strCache>
                <c:ptCount val="1"/>
                <c:pt idx="0">
                  <c:v>UK Exports to EU</c:v>
                </c:pt>
              </c:strCache>
            </c:strRef>
          </c:tx>
          <c:spPr>
            <a:ln w="28575" cap="rnd">
              <a:solidFill>
                <a:srgbClr val="002060"/>
              </a:solidFill>
              <a:round/>
            </a:ln>
            <a:effectLst/>
          </c:spPr>
          <c:marker>
            <c:symbol val="none"/>
          </c:marker>
          <c:cat>
            <c:strRef>
              <c:f>'2. Trade in Goods'!$F$305:$Y$305</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Goods'!$F$306:$Y$306</c:f>
              <c:numCache>
                <c:formatCode>General</c:formatCode>
                <c:ptCount val="20"/>
                <c:pt idx="0">
                  <c:v>102.352</c:v>
                </c:pt>
                <c:pt idx="1">
                  <c:v>112.834</c:v>
                </c:pt>
                <c:pt idx="2">
                  <c:v>113.941</c:v>
                </c:pt>
                <c:pt idx="3">
                  <c:v>114.76600000000001</c:v>
                </c:pt>
                <c:pt idx="4">
                  <c:v>111.623</c:v>
                </c:pt>
                <c:pt idx="5">
                  <c:v>112.324</c:v>
                </c:pt>
                <c:pt idx="6">
                  <c:v>121.92</c:v>
                </c:pt>
                <c:pt idx="7">
                  <c:v>153.387</c:v>
                </c:pt>
                <c:pt idx="8">
                  <c:v>128.17599999999999</c:v>
                </c:pt>
                <c:pt idx="9">
                  <c:v>142.404</c:v>
                </c:pt>
                <c:pt idx="10">
                  <c:v>125.664</c:v>
                </c:pt>
                <c:pt idx="11">
                  <c:v>144.50800000000001</c:v>
                </c:pt>
                <c:pt idx="12">
                  <c:v>162.88300000000001</c:v>
                </c:pt>
                <c:pt idx="13">
                  <c:v>152.501</c:v>
                </c:pt>
                <c:pt idx="14">
                  <c:v>151.22300000000001</c:v>
                </c:pt>
                <c:pt idx="15">
                  <c:v>146.87200000000001</c:v>
                </c:pt>
                <c:pt idx="16">
                  <c:v>133.66399999999999</c:v>
                </c:pt>
                <c:pt idx="17">
                  <c:v>142.70500000000001</c:v>
                </c:pt>
                <c:pt idx="18">
                  <c:v>164.08099999999999</c:v>
                </c:pt>
                <c:pt idx="19">
                  <c:v>172.21100000000001</c:v>
                </c:pt>
              </c:numCache>
            </c:numRef>
          </c:val>
          <c:smooth val="0"/>
          <c:extLst>
            <c:ext xmlns:c16="http://schemas.microsoft.com/office/drawing/2014/chart" uri="{C3380CC4-5D6E-409C-BE32-E72D297353CC}">
              <c16:uniqueId val="{00000000-461C-49F5-9087-1462F710CF12}"/>
            </c:ext>
          </c:extLst>
        </c:ser>
        <c:ser>
          <c:idx val="1"/>
          <c:order val="1"/>
          <c:tx>
            <c:strRef>
              <c:f>'2. Trade in Goods'!$D$307</c:f>
              <c:strCache>
                <c:ptCount val="1"/>
                <c:pt idx="0">
                  <c:v>US Exports to EU</c:v>
                </c:pt>
              </c:strCache>
            </c:strRef>
          </c:tx>
          <c:spPr>
            <a:ln w="28575" cap="rnd">
              <a:solidFill>
                <a:srgbClr val="990000"/>
              </a:solidFill>
              <a:round/>
            </a:ln>
            <a:effectLst/>
          </c:spPr>
          <c:marker>
            <c:symbol val="none"/>
          </c:marker>
          <c:cat>
            <c:strRef>
              <c:f>'2. Trade in Goods'!$F$305:$Y$305</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Goods'!$F$307:$Y$307</c:f>
              <c:numCache>
                <c:formatCode>0.00</c:formatCode>
                <c:ptCount val="20"/>
                <c:pt idx="0">
                  <c:v>95.673671199011125</c:v>
                </c:pt>
                <c:pt idx="1">
                  <c:v>111.02310231023102</c:v>
                </c:pt>
                <c:pt idx="2">
                  <c:v>112.43055555555556</c:v>
                </c:pt>
                <c:pt idx="3">
                  <c:v>97.733333333333334</c:v>
                </c:pt>
                <c:pt idx="4">
                  <c:v>95.229357798165125</c:v>
                </c:pt>
                <c:pt idx="5">
                  <c:v>93.398799781778507</c:v>
                </c:pt>
                <c:pt idx="6">
                  <c:v>101.75824175824175</c:v>
                </c:pt>
                <c:pt idx="7">
                  <c:v>114.97558328811721</c:v>
                </c:pt>
                <c:pt idx="8">
                  <c:v>121.97802197802199</c:v>
                </c:pt>
                <c:pt idx="9">
                  <c:v>146.52291105121296</c:v>
                </c:pt>
                <c:pt idx="10">
                  <c:v>140.95846645367413</c:v>
                </c:pt>
                <c:pt idx="11">
                  <c:v>154.98059508408795</c:v>
                </c:pt>
                <c:pt idx="12">
                  <c:v>167.76807980049875</c:v>
                </c:pt>
                <c:pt idx="13">
                  <c:v>167.44479495268138</c:v>
                </c:pt>
                <c:pt idx="14">
                  <c:v>167.47603833865816</c:v>
                </c:pt>
                <c:pt idx="15">
                  <c:v>167.65776699029126</c:v>
                </c:pt>
                <c:pt idx="16">
                  <c:v>177.8286461739699</c:v>
                </c:pt>
                <c:pt idx="17">
                  <c:v>198.74631268436576</c:v>
                </c:pt>
                <c:pt idx="18">
                  <c:v>219.78277734678048</c:v>
                </c:pt>
                <c:pt idx="19">
                  <c:v>239.54887218045113</c:v>
                </c:pt>
              </c:numCache>
            </c:numRef>
          </c:val>
          <c:smooth val="0"/>
          <c:extLst>
            <c:ext xmlns:c16="http://schemas.microsoft.com/office/drawing/2014/chart" uri="{C3380CC4-5D6E-409C-BE32-E72D297353CC}">
              <c16:uniqueId val="{00000001-461C-49F5-9087-1462F710CF12}"/>
            </c:ext>
          </c:extLst>
        </c:ser>
        <c:dLbls>
          <c:showLegendKey val="0"/>
          <c:showVal val="0"/>
          <c:showCatName val="0"/>
          <c:showSerName val="0"/>
          <c:showPercent val="0"/>
          <c:showBubbleSize val="0"/>
        </c:dLbls>
        <c:smooth val="0"/>
        <c:axId val="818235600"/>
        <c:axId val="818233960"/>
      </c:lineChart>
      <c:catAx>
        <c:axId val="81823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crossAx val="818233960"/>
        <c:crosses val="autoZero"/>
        <c:auto val="1"/>
        <c:lblAlgn val="ctr"/>
        <c:lblOffset val="100"/>
        <c:tickMarkSkip val="2"/>
        <c:noMultiLvlLbl val="0"/>
      </c:catAx>
      <c:valAx>
        <c:axId val="818233960"/>
        <c:scaling>
          <c:orientation val="minMax"/>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r>
                  <a:rPr lang="en-AU">
                    <a:solidFill>
                      <a:schemeClr val="tx1">
                        <a:lumMod val="75000"/>
                        <a:lumOff val="25000"/>
                      </a:schemeClr>
                    </a:solidFill>
                    <a:latin typeface="Calibri" panose="020F0502020204030204" pitchFamily="34" charset="0"/>
                    <a:cs typeface="Calibri" panose="020F0502020204030204" pitchFamily="34" charset="0"/>
                  </a:rPr>
                  <a:t>£ billion in currenct exchange</a:t>
                </a:r>
                <a:r>
                  <a:rPr lang="en-AU" baseline="0">
                    <a:solidFill>
                      <a:schemeClr val="tx1">
                        <a:lumMod val="75000"/>
                        <a:lumOff val="25000"/>
                      </a:schemeClr>
                    </a:solidFill>
                    <a:latin typeface="Calibri" panose="020F0502020204030204" pitchFamily="34" charset="0"/>
                    <a:cs typeface="Calibri" panose="020F0502020204030204" pitchFamily="34" charset="0"/>
                  </a:rPr>
                  <a:t> rates</a:t>
                </a:r>
                <a:endParaRPr lang="en-AU">
                  <a:solidFill>
                    <a:schemeClr val="tx1">
                      <a:lumMod val="75000"/>
                      <a:lumOff val="25000"/>
                    </a:schemeClr>
                  </a:solidFill>
                </a:endParaRPr>
              </a:p>
            </c:rich>
          </c:tx>
          <c:layout>
            <c:manualLayout>
              <c:xMode val="edge"/>
              <c:yMode val="edge"/>
              <c:x val="1.6119399196286473E-2"/>
              <c:y val="0.14791666666666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818235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260" b="1" i="0" u="none" strike="noStrike" kern="1200" spc="0" baseline="0">
                <a:solidFill>
                  <a:sysClr val="windowText" lastClr="000000">
                    <a:lumMod val="65000"/>
                    <a:lumOff val="35000"/>
                  </a:sysClr>
                </a:solidFill>
                <a:latin typeface="+mn-lt"/>
                <a:ea typeface="+mn-ea"/>
                <a:cs typeface="+mn-cs"/>
              </a:defRPr>
            </a:pPr>
            <a:r>
              <a:rPr lang="en-US" sz="1260" b="1" i="0" u="none" strike="noStrike" kern="1200" spc="0" baseline="0">
                <a:solidFill>
                  <a:sysClr val="windowText" lastClr="000000">
                    <a:lumMod val="65000"/>
                    <a:lumOff val="35000"/>
                  </a:sysClr>
                </a:solidFill>
                <a:latin typeface="+mn-lt"/>
                <a:ea typeface="+mn-ea"/>
                <a:cs typeface="+mn-cs"/>
              </a:rPr>
              <a:t>Growth in UK services exports to EU &amp; non-EU countries </a:t>
            </a:r>
          </a:p>
          <a:p>
            <a:pPr algn="ctr" rtl="0">
              <a:defRPr lang="en-US" sz="1260" b="1">
                <a:solidFill>
                  <a:sysClr val="windowText" lastClr="000000">
                    <a:lumMod val="65000"/>
                    <a:lumOff val="35000"/>
                  </a:sysClr>
                </a:solidFill>
              </a:defRPr>
            </a:pPr>
            <a:r>
              <a:rPr lang="en-US" sz="1260" b="1" i="0" u="none" strike="noStrike" kern="1200" spc="0" baseline="0">
                <a:solidFill>
                  <a:sysClr val="windowText" lastClr="000000">
                    <a:lumMod val="65000"/>
                    <a:lumOff val="35000"/>
                  </a:sysClr>
                </a:solidFill>
                <a:latin typeface="+mn-lt"/>
                <a:ea typeface="+mn-ea"/>
                <a:cs typeface="+mn-cs"/>
              </a:rPr>
              <a:t>(real prices) : 1999 – 2018</a:t>
            </a:r>
          </a:p>
        </c:rich>
      </c:tx>
      <c:layout>
        <c:manualLayout>
          <c:xMode val="edge"/>
          <c:yMode val="edge"/>
          <c:x val="0.12769365750646208"/>
          <c:y val="3.6620054578039067E-2"/>
        </c:manualLayout>
      </c:layout>
      <c:overlay val="0"/>
      <c:spPr>
        <a:noFill/>
        <a:ln>
          <a:noFill/>
        </a:ln>
        <a:effectLst/>
      </c:spPr>
      <c:txPr>
        <a:bodyPr rot="0" spcFirstLastPara="1" vertOverflow="ellipsis" vert="horz" wrap="square" anchor="ctr" anchorCtr="1"/>
        <a:lstStyle/>
        <a:p>
          <a:pPr algn="ctr" rtl="0">
            <a:defRPr lang="en-US"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8.8263671730579779E-2"/>
          <c:y val="0.24508109530171132"/>
          <c:w val="0.88396789277130183"/>
          <c:h val="0.60285884604476503"/>
        </c:manualLayout>
      </c:layout>
      <c:barChart>
        <c:barDir val="col"/>
        <c:grouping val="clustered"/>
        <c:varyColors val="0"/>
        <c:ser>
          <c:idx val="0"/>
          <c:order val="0"/>
          <c:tx>
            <c:strRef>
              <c:f>'3. Trade in Services'!$H$86</c:f>
              <c:strCache>
                <c:ptCount val="1"/>
                <c:pt idx="0">
                  <c:v> EU</c:v>
                </c:pt>
              </c:strCache>
            </c:strRef>
          </c:tx>
          <c:spPr>
            <a:solidFill>
              <a:srgbClr val="C00000"/>
            </a:solidFill>
            <a:ln w="19050">
              <a:solidFill>
                <a:srgbClr val="990000"/>
              </a:solidFill>
            </a:ln>
            <a:effectLst/>
          </c:spPr>
          <c:invertIfNegative val="0"/>
          <c:dLbls>
            <c:dLbl>
              <c:idx val="1"/>
              <c:layout>
                <c:manualLayout>
                  <c:x val="-7.7137963084956586E-17"/>
                  <c:y val="0.1275691330698969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4A-4E73-88D3-0B810501180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Services'!$G$87:$G$88</c:f>
              <c:strCache>
                <c:ptCount val="2"/>
                <c:pt idx="0">
                  <c:v>Exports</c:v>
                </c:pt>
                <c:pt idx="1">
                  <c:v>Imports</c:v>
                </c:pt>
              </c:strCache>
            </c:strRef>
          </c:cat>
          <c:val>
            <c:numRef>
              <c:f>'3. Trade in Services'!$H$87:$H$88</c:f>
              <c:numCache>
                <c:formatCode>0.0%</c:formatCode>
                <c:ptCount val="2"/>
                <c:pt idx="0">
                  <c:v>1.3411915138765875</c:v>
                </c:pt>
                <c:pt idx="1">
                  <c:v>0.6782493397264312</c:v>
                </c:pt>
              </c:numCache>
            </c:numRef>
          </c:val>
          <c:extLst>
            <c:ext xmlns:c16="http://schemas.microsoft.com/office/drawing/2014/chart" uri="{C3380CC4-5D6E-409C-BE32-E72D297353CC}">
              <c16:uniqueId val="{00000000-DDA0-4131-BB48-F3FAB4A31EF4}"/>
            </c:ext>
          </c:extLst>
        </c:ser>
        <c:ser>
          <c:idx val="1"/>
          <c:order val="1"/>
          <c:tx>
            <c:strRef>
              <c:f>'3. Trade in Services'!$I$86</c:f>
              <c:strCache>
                <c:ptCount val="1"/>
                <c:pt idx="0">
                  <c:v> Non-EU</c:v>
                </c:pt>
              </c:strCache>
            </c:strRef>
          </c:tx>
          <c:spPr>
            <a:solidFill>
              <a:srgbClr val="002060"/>
            </a:solidFill>
            <a:ln w="12700">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Services'!$G$87:$G$88</c:f>
              <c:strCache>
                <c:ptCount val="2"/>
                <c:pt idx="0">
                  <c:v>Exports</c:v>
                </c:pt>
                <c:pt idx="1">
                  <c:v>Imports</c:v>
                </c:pt>
              </c:strCache>
            </c:strRef>
          </c:cat>
          <c:val>
            <c:numRef>
              <c:f>'3. Trade in Services'!$I$87:$I$88</c:f>
              <c:numCache>
                <c:formatCode>0.0%</c:formatCode>
                <c:ptCount val="2"/>
                <c:pt idx="0">
                  <c:v>1.4392186752791696</c:v>
                </c:pt>
                <c:pt idx="1">
                  <c:v>1.1472886460922791</c:v>
                </c:pt>
              </c:numCache>
            </c:numRef>
          </c:val>
          <c:extLst>
            <c:ext xmlns:c16="http://schemas.microsoft.com/office/drawing/2014/chart" uri="{C3380CC4-5D6E-409C-BE32-E72D297353CC}">
              <c16:uniqueId val="{00000001-DDA0-4131-BB48-F3FAB4A31EF4}"/>
            </c:ext>
          </c:extLst>
        </c:ser>
        <c:dLbls>
          <c:dLblPos val="inEnd"/>
          <c:showLegendKey val="0"/>
          <c:showVal val="1"/>
          <c:showCatName val="0"/>
          <c:showSerName val="0"/>
          <c:showPercent val="0"/>
          <c:showBubbleSize val="0"/>
        </c:dLbls>
        <c:gapWidth val="123"/>
        <c:overlap val="-33"/>
        <c:axId val="509372024"/>
        <c:axId val="509372352"/>
      </c:barChart>
      <c:catAx>
        <c:axId val="509372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09372352"/>
        <c:crosses val="autoZero"/>
        <c:auto val="1"/>
        <c:lblAlgn val="ctr"/>
        <c:lblOffset val="100"/>
        <c:noMultiLvlLbl val="0"/>
      </c:catAx>
      <c:valAx>
        <c:axId val="509372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37202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635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US" b="1">
                <a:solidFill>
                  <a:schemeClr val="tx1">
                    <a:lumMod val="85000"/>
                    <a:lumOff val="15000"/>
                  </a:schemeClr>
                </a:solidFill>
              </a:rPr>
              <a:t>Annual</a:t>
            </a:r>
            <a:r>
              <a:rPr lang="en-US" b="1" baseline="0">
                <a:solidFill>
                  <a:schemeClr val="tx1">
                    <a:lumMod val="85000"/>
                    <a:lumOff val="15000"/>
                  </a:schemeClr>
                </a:solidFill>
              </a:rPr>
              <a:t> g</a:t>
            </a:r>
            <a:r>
              <a:rPr lang="en-US" b="1">
                <a:solidFill>
                  <a:schemeClr val="tx1">
                    <a:lumMod val="85000"/>
                    <a:lumOff val="15000"/>
                  </a:schemeClr>
                </a:solidFill>
              </a:rPr>
              <a:t>rowth of UK exports: 1999</a:t>
            </a:r>
            <a:r>
              <a:rPr lang="en-US" b="1" baseline="0">
                <a:solidFill>
                  <a:schemeClr val="tx1">
                    <a:lumMod val="85000"/>
                    <a:lumOff val="15000"/>
                  </a:schemeClr>
                </a:solidFill>
              </a:rPr>
              <a:t> </a:t>
            </a:r>
            <a:r>
              <a:rPr lang="en-US" b="1">
                <a:solidFill>
                  <a:schemeClr val="tx1">
                    <a:lumMod val="85000"/>
                    <a:lumOff val="15000"/>
                  </a:schemeClr>
                </a:solidFill>
                <a:latin typeface="Calibri" panose="020F0502020204030204" pitchFamily="34" charset="0"/>
                <a:cs typeface="Calibri" panose="020F0502020204030204" pitchFamily="34" charset="0"/>
              </a:rPr>
              <a:t>‒ </a:t>
            </a:r>
            <a:r>
              <a:rPr lang="en-US" b="1">
                <a:solidFill>
                  <a:schemeClr val="tx1">
                    <a:lumMod val="85000"/>
                    <a:lumOff val="15000"/>
                  </a:schemeClr>
                </a:solidFill>
              </a:rPr>
              <a:t>2018</a:t>
            </a:r>
          </a:p>
        </c:rich>
      </c:tx>
      <c:layout>
        <c:manualLayout>
          <c:xMode val="edge"/>
          <c:yMode val="edge"/>
          <c:x val="0.22173542078848502"/>
          <c:y val="3.687467911072928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8.6526701566249253E-2"/>
          <c:y val="0.11345561918396566"/>
          <c:w val="0.89125107193681929"/>
          <c:h val="0.55333184204247199"/>
        </c:manualLayout>
      </c:layout>
      <c:barChart>
        <c:barDir val="col"/>
        <c:grouping val="clustered"/>
        <c:varyColors val="0"/>
        <c:ser>
          <c:idx val="0"/>
          <c:order val="0"/>
          <c:tx>
            <c:strRef>
              <c:f>'1. All Trade'!$B$42</c:f>
              <c:strCache>
                <c:ptCount val="1"/>
                <c:pt idx="0">
                  <c:v>CAGR 1999 - 2018</c:v>
                </c:pt>
              </c:strCache>
            </c:strRef>
          </c:tx>
          <c:spPr>
            <a:solidFill>
              <a:schemeClr val="accent1"/>
            </a:solidFill>
            <a:ln w="9525">
              <a:solidFill>
                <a:sysClr val="windowText" lastClr="000000"/>
              </a:solidFill>
            </a:ln>
            <a:effectLst/>
          </c:spPr>
          <c:invertIfNegative val="0"/>
          <c:dPt>
            <c:idx val="0"/>
            <c:invertIfNegative val="0"/>
            <c:bubble3D val="0"/>
            <c:spPr>
              <a:solidFill>
                <a:srgbClr val="002060"/>
              </a:solidFill>
              <a:ln w="9525">
                <a:solidFill>
                  <a:sysClr val="windowText" lastClr="000000"/>
                </a:solidFill>
              </a:ln>
              <a:effectLst/>
            </c:spPr>
            <c:extLst>
              <c:ext xmlns:c16="http://schemas.microsoft.com/office/drawing/2014/chart" uri="{C3380CC4-5D6E-409C-BE32-E72D297353CC}">
                <c16:uniqueId val="{00000003-2F7C-4282-A9F6-3F78B2CA2334}"/>
              </c:ext>
            </c:extLst>
          </c:dPt>
          <c:dPt>
            <c:idx val="1"/>
            <c:invertIfNegative val="0"/>
            <c:bubble3D val="0"/>
            <c:spPr>
              <a:solidFill>
                <a:srgbClr val="376891"/>
              </a:solidFill>
              <a:ln w="9525">
                <a:solidFill>
                  <a:sysClr val="windowText" lastClr="000000"/>
                </a:solidFill>
              </a:ln>
              <a:effectLst/>
            </c:spPr>
            <c:extLst>
              <c:ext xmlns:c16="http://schemas.microsoft.com/office/drawing/2014/chart" uri="{C3380CC4-5D6E-409C-BE32-E72D297353CC}">
                <c16:uniqueId val="{00000012-2F7C-4282-A9F6-3F78B2CA2334}"/>
              </c:ext>
            </c:extLst>
          </c:dPt>
          <c:dPt>
            <c:idx val="2"/>
            <c:invertIfNegative val="0"/>
            <c:bubble3D val="0"/>
            <c:spPr>
              <a:solidFill>
                <a:srgbClr val="D06E85"/>
              </a:solidFill>
              <a:ln w="9525">
                <a:solidFill>
                  <a:sysClr val="windowText" lastClr="000000"/>
                </a:solidFill>
              </a:ln>
              <a:effectLst/>
            </c:spPr>
            <c:extLst>
              <c:ext xmlns:c16="http://schemas.microsoft.com/office/drawing/2014/chart" uri="{C3380CC4-5D6E-409C-BE32-E72D297353CC}">
                <c16:uniqueId val="{00000009-2F7C-4282-A9F6-3F78B2CA2334}"/>
              </c:ext>
            </c:extLst>
          </c:dPt>
          <c:dPt>
            <c:idx val="3"/>
            <c:invertIfNegative val="0"/>
            <c:bubble3D val="0"/>
            <c:spPr>
              <a:solidFill>
                <a:srgbClr val="C00000"/>
              </a:solidFill>
              <a:ln w="9525">
                <a:solidFill>
                  <a:sysClr val="windowText" lastClr="000000"/>
                </a:solidFill>
              </a:ln>
              <a:effectLst/>
            </c:spPr>
            <c:extLst>
              <c:ext xmlns:c16="http://schemas.microsoft.com/office/drawing/2014/chart" uri="{C3380CC4-5D6E-409C-BE32-E72D297353CC}">
                <c16:uniqueId val="{00000021-2F7C-4282-A9F6-3F78B2CA2334}"/>
              </c:ext>
            </c:extLst>
          </c:dPt>
          <c:dLbls>
            <c:dLbl>
              <c:idx val="3"/>
              <c:layout>
                <c:manualLayout>
                  <c:x val="2.3839388897090989E-3"/>
                  <c:y val="9.493776573197517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F7C-4282-A9F6-3F78B2CA233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Trade'!$A$43:$A$46</c:f>
              <c:strCache>
                <c:ptCount val="4"/>
                <c:pt idx="0">
                  <c:v>Services to non-EU countries</c:v>
                </c:pt>
                <c:pt idx="1">
                  <c:v>Services to EU </c:v>
                </c:pt>
                <c:pt idx="2">
                  <c:v>Goods to non-EU countries</c:v>
                </c:pt>
                <c:pt idx="3">
                  <c:v>Goods to EU</c:v>
                </c:pt>
              </c:strCache>
            </c:strRef>
          </c:cat>
          <c:val>
            <c:numRef>
              <c:f>'1. All Trade'!$B$43:$B$46</c:f>
              <c:numCache>
                <c:formatCode>0.0%</c:formatCode>
                <c:ptCount val="4"/>
                <c:pt idx="0">
                  <c:v>5.3851589948424872E-2</c:v>
                </c:pt>
                <c:pt idx="1">
                  <c:v>5.1311910835426966E-2</c:v>
                </c:pt>
                <c:pt idx="2">
                  <c:v>3.1732489464868285E-2</c:v>
                </c:pt>
                <c:pt idx="3">
                  <c:v>3.1002118786171984E-3</c:v>
                </c:pt>
              </c:numCache>
            </c:numRef>
          </c:val>
          <c:extLst>
            <c:ext xmlns:c16="http://schemas.microsoft.com/office/drawing/2014/chart" uri="{C3380CC4-5D6E-409C-BE32-E72D297353CC}">
              <c16:uniqueId val="{00000000-2F7C-4282-A9F6-3F78B2CA2334}"/>
            </c:ext>
          </c:extLst>
        </c:ser>
        <c:dLbls>
          <c:dLblPos val="inEnd"/>
          <c:showLegendKey val="0"/>
          <c:showVal val="1"/>
          <c:showCatName val="0"/>
          <c:showSerName val="0"/>
          <c:showPercent val="0"/>
          <c:showBubbleSize val="0"/>
        </c:dLbls>
        <c:gapWidth val="219"/>
        <c:overlap val="-27"/>
        <c:axId val="673336432"/>
        <c:axId val="673332496"/>
      </c:barChart>
      <c:catAx>
        <c:axId val="67333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85000"/>
                    <a:lumOff val="15000"/>
                  </a:schemeClr>
                </a:solidFill>
                <a:latin typeface="+mn-lt"/>
                <a:ea typeface="+mn-ea"/>
                <a:cs typeface="+mn-cs"/>
              </a:defRPr>
            </a:pPr>
            <a:endParaRPr lang="en-US"/>
          </a:p>
        </c:txPr>
        <c:crossAx val="673332496"/>
        <c:crosses val="autoZero"/>
        <c:auto val="1"/>
        <c:lblAlgn val="ctr"/>
        <c:lblOffset val="100"/>
        <c:noMultiLvlLbl val="0"/>
      </c:catAx>
      <c:valAx>
        <c:axId val="673332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85000"/>
                    <a:lumOff val="15000"/>
                  </a:schemeClr>
                </a:solidFill>
                <a:latin typeface="+mn-lt"/>
                <a:ea typeface="+mn-ea"/>
                <a:cs typeface="+mn-cs"/>
              </a:defRPr>
            </a:pPr>
            <a:endParaRPr lang="en-US"/>
          </a:p>
        </c:txPr>
        <c:crossAx val="673336432"/>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062B03"/>
      </a:solid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1" i="0" u="none" strike="noStrike" kern="1200" spc="0" baseline="0">
                <a:solidFill>
                  <a:schemeClr val="tx1">
                    <a:lumMod val="75000"/>
                    <a:lumOff val="25000"/>
                  </a:schemeClr>
                </a:solidFill>
                <a:latin typeface="+mn-lt"/>
                <a:ea typeface="+mn-ea"/>
                <a:cs typeface="+mn-cs"/>
              </a:defRPr>
            </a:pPr>
            <a:r>
              <a:rPr lang="en-AU">
                <a:solidFill>
                  <a:schemeClr val="tx1">
                    <a:lumMod val="75000"/>
                    <a:lumOff val="25000"/>
                  </a:schemeClr>
                </a:solidFill>
              </a:rPr>
              <a:t>Annual growth in UK trade in services (CAGR): 1999 – 2018</a:t>
            </a:r>
          </a:p>
        </c:rich>
      </c:tx>
      <c:layout>
        <c:manualLayout>
          <c:xMode val="edge"/>
          <c:yMode val="edge"/>
          <c:x val="0.16874517963158933"/>
          <c:y val="3.3670033670033669E-2"/>
        </c:manualLayout>
      </c:layout>
      <c:overlay val="0"/>
      <c:spPr>
        <a:noFill/>
        <a:ln>
          <a:noFill/>
        </a:ln>
        <a:effectLst/>
      </c:spPr>
      <c:txPr>
        <a:bodyPr rot="0" spcFirstLastPara="1" vertOverflow="ellipsis" vert="horz" wrap="square" anchor="ctr" anchorCtr="1"/>
        <a:lstStyle/>
        <a:p>
          <a:pPr>
            <a:defRPr sz="126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0.14137888186884087"/>
          <c:y val="0.14710183025005752"/>
          <c:w val="0.8201023434370468"/>
          <c:h val="0.59503435598053278"/>
        </c:manualLayout>
      </c:layout>
      <c:barChart>
        <c:barDir val="bar"/>
        <c:grouping val="clustered"/>
        <c:varyColors val="0"/>
        <c:ser>
          <c:idx val="0"/>
          <c:order val="0"/>
          <c:tx>
            <c:strRef>
              <c:f>'3. Trade in Services'!$B$102</c:f>
              <c:strCache>
                <c:ptCount val="1"/>
                <c:pt idx="0">
                  <c:v>EU</c:v>
                </c:pt>
              </c:strCache>
            </c:strRef>
          </c:tx>
          <c:spPr>
            <a:solidFill>
              <a:srgbClr val="C00000"/>
            </a:solidFill>
            <a:ln>
              <a:solidFill>
                <a:srgbClr val="990000"/>
              </a:solidFill>
            </a:ln>
            <a:effectLst/>
          </c:spPr>
          <c:invertIfNegative val="0"/>
          <c:dPt>
            <c:idx val="0"/>
            <c:invertIfNegative val="0"/>
            <c:bubble3D val="0"/>
            <c:spPr>
              <a:solidFill>
                <a:srgbClr val="C00000"/>
              </a:solidFill>
              <a:ln>
                <a:solidFill>
                  <a:srgbClr val="990000"/>
                </a:solidFill>
              </a:ln>
              <a:effectLst/>
            </c:spPr>
            <c:extLst>
              <c:ext xmlns:c16="http://schemas.microsoft.com/office/drawing/2014/chart" uri="{C3380CC4-5D6E-409C-BE32-E72D297353CC}">
                <c16:uniqueId val="{00000006-2A7D-43FB-BC5C-D72AC797BDF1}"/>
              </c:ext>
            </c:extLst>
          </c:dPt>
          <c:dPt>
            <c:idx val="1"/>
            <c:invertIfNegative val="0"/>
            <c:bubble3D val="0"/>
            <c:spPr>
              <a:solidFill>
                <a:srgbClr val="C00000"/>
              </a:solidFill>
              <a:ln>
                <a:solidFill>
                  <a:srgbClr val="990000"/>
                </a:solidFill>
              </a:ln>
              <a:effectLst/>
            </c:spPr>
            <c:extLst>
              <c:ext xmlns:c16="http://schemas.microsoft.com/office/drawing/2014/chart" uri="{C3380CC4-5D6E-409C-BE32-E72D297353CC}">
                <c16:uniqueId val="{0000000A-2A7D-43FB-BC5C-D72AC797BDF1}"/>
              </c:ext>
            </c:extLst>
          </c:dPt>
          <c:dLbls>
            <c:dLbl>
              <c:idx val="1"/>
              <c:layout>
                <c:manualLayout>
                  <c:x val="2.4566595790345472E-3"/>
                  <c:y val="4.530932905492442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A7D-43FB-BC5C-D72AC797BDF1}"/>
                </c:ext>
              </c:extLst>
            </c:dLbl>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Trade in Services'!$A$103:$A$104</c:f>
              <c:strCache>
                <c:ptCount val="2"/>
                <c:pt idx="0">
                  <c:v>Exports </c:v>
                </c:pt>
                <c:pt idx="1">
                  <c:v>Imports</c:v>
                </c:pt>
              </c:strCache>
            </c:strRef>
          </c:cat>
          <c:val>
            <c:numRef>
              <c:f>'3. Trade in Services'!$B$103:$B$104</c:f>
              <c:numCache>
                <c:formatCode>0.0%</c:formatCode>
                <c:ptCount val="2"/>
                <c:pt idx="0">
                  <c:v>5.1311910835426966E-2</c:v>
                </c:pt>
                <c:pt idx="1">
                  <c:v>3.0924479275734384E-2</c:v>
                </c:pt>
              </c:numCache>
            </c:numRef>
          </c:val>
          <c:extLst>
            <c:ext xmlns:c16="http://schemas.microsoft.com/office/drawing/2014/chart" uri="{C3380CC4-5D6E-409C-BE32-E72D297353CC}">
              <c16:uniqueId val="{00000000-F123-4906-9CCA-A66FC7B66C33}"/>
            </c:ext>
          </c:extLst>
        </c:ser>
        <c:ser>
          <c:idx val="1"/>
          <c:order val="1"/>
          <c:tx>
            <c:strRef>
              <c:f>'3. Trade in Services'!$C$102</c:f>
              <c:strCache>
                <c:ptCount val="1"/>
                <c:pt idx="0">
                  <c:v>Non-EU </c:v>
                </c:pt>
              </c:strCache>
            </c:strRef>
          </c:tx>
          <c:spPr>
            <a:solidFill>
              <a:srgbClr val="001C54"/>
            </a:solidFill>
            <a:ln>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Services'!$A$103:$A$104</c:f>
              <c:strCache>
                <c:ptCount val="2"/>
                <c:pt idx="0">
                  <c:v>Exports </c:v>
                </c:pt>
                <c:pt idx="1">
                  <c:v>Imports</c:v>
                </c:pt>
              </c:strCache>
            </c:strRef>
          </c:cat>
          <c:val>
            <c:numRef>
              <c:f>'3. Trade in Services'!$C$103:$C$104</c:f>
              <c:numCache>
                <c:formatCode>0.0%</c:formatCode>
                <c:ptCount val="2"/>
                <c:pt idx="0">
                  <c:v>5.3851589948424872E-2</c:v>
                </c:pt>
                <c:pt idx="1">
                  <c:v>4.5979002408236269E-2</c:v>
                </c:pt>
              </c:numCache>
            </c:numRef>
          </c:val>
          <c:extLst>
            <c:ext xmlns:c16="http://schemas.microsoft.com/office/drawing/2014/chart" uri="{C3380CC4-5D6E-409C-BE32-E72D297353CC}">
              <c16:uniqueId val="{00000001-F123-4906-9CCA-A66FC7B66C33}"/>
            </c:ext>
          </c:extLst>
        </c:ser>
        <c:dLbls>
          <c:dLblPos val="outEnd"/>
          <c:showLegendKey val="0"/>
          <c:showVal val="1"/>
          <c:showCatName val="0"/>
          <c:showSerName val="0"/>
          <c:showPercent val="0"/>
          <c:showBubbleSize val="0"/>
        </c:dLbls>
        <c:gapWidth val="99"/>
        <c:overlap val="-34"/>
        <c:axId val="513763280"/>
        <c:axId val="513760656"/>
      </c:barChart>
      <c:catAx>
        <c:axId val="5137632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3760656"/>
        <c:crosses val="autoZero"/>
        <c:auto val="1"/>
        <c:lblAlgn val="ctr"/>
        <c:lblOffset val="100"/>
        <c:noMultiLvlLbl val="0"/>
      </c:catAx>
      <c:valAx>
        <c:axId val="5137606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3763280"/>
        <c:crosses val="autoZero"/>
        <c:crossBetween val="between"/>
      </c:valAx>
      <c:spPr>
        <a:noFill/>
        <a:ln w="6350">
          <a:solidFill>
            <a:schemeClr val="tx1">
              <a:lumMod val="15000"/>
              <a:lumOff val="85000"/>
            </a:schemeClr>
          </a:solid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50" b="1"/>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r>
              <a:rPr lang="en-AU" sz="1260" b="1" i="0" u="none" strike="noStrike" kern="1200" spc="0" baseline="0">
                <a:solidFill>
                  <a:sysClr val="windowText" lastClr="000000">
                    <a:lumMod val="65000"/>
                    <a:lumOff val="35000"/>
                  </a:sysClr>
                </a:solidFill>
                <a:latin typeface="+mn-lt"/>
                <a:ea typeface="+mn-ea"/>
                <a:cs typeface="+mn-cs"/>
              </a:rPr>
              <a:t>Growth in services exports to EU / non-EU countries</a:t>
            </a:r>
          </a:p>
          <a:p>
            <a:pPr>
              <a:defRPr lang="en-AU" sz="1260" b="1">
                <a:solidFill>
                  <a:sysClr val="windowText" lastClr="000000">
                    <a:lumMod val="65000"/>
                    <a:lumOff val="35000"/>
                  </a:sysClr>
                </a:solidFill>
              </a:defRPr>
            </a:pPr>
            <a:r>
              <a:rPr lang="en-AU" sz="1260" b="1" i="0" u="none" strike="noStrike" kern="1200" spc="0" baseline="0">
                <a:solidFill>
                  <a:sysClr val="windowText" lastClr="000000">
                    <a:lumMod val="65000"/>
                    <a:lumOff val="35000"/>
                  </a:sysClr>
                </a:solidFill>
                <a:latin typeface="+mn-lt"/>
                <a:ea typeface="+mn-ea"/>
                <a:cs typeface="+mn-cs"/>
              </a:rPr>
              <a:t> (real prices): 1999 </a:t>
            </a:r>
            <a:r>
              <a:rPr lang="en-AU" sz="1260" b="1" i="0" u="none" strike="noStrike" kern="1200" spc="0" baseline="0">
                <a:solidFill>
                  <a:sysClr val="windowText" lastClr="000000">
                    <a:lumMod val="65000"/>
                    <a:lumOff val="35000"/>
                  </a:sysClr>
                </a:solidFill>
                <a:latin typeface="Calibri" panose="020F0502020204030204" pitchFamily="34" charset="0"/>
                <a:ea typeface="+mn-ea"/>
                <a:cs typeface="Calibri" panose="020F0502020204030204" pitchFamily="34" charset="0"/>
              </a:rPr>
              <a:t>– 2018</a:t>
            </a:r>
            <a:endParaRPr lang="en-AU" sz="1260" b="1" i="0" u="none" strike="noStrike" kern="1200" spc="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13701422349976264"/>
          <c:y val="0.18469198489040617"/>
          <c:w val="0.8352266935474737"/>
          <c:h val="0.62908319519845202"/>
        </c:manualLayout>
      </c:layout>
      <c:barChart>
        <c:barDir val="col"/>
        <c:grouping val="clustered"/>
        <c:varyColors val="0"/>
        <c:ser>
          <c:idx val="0"/>
          <c:order val="0"/>
          <c:tx>
            <c:strRef>
              <c:f>'3. Trade in Services'!$B$86</c:f>
              <c:strCache>
                <c:ptCount val="1"/>
                <c:pt idx="0">
                  <c:v> Exports  1999</c:v>
                </c:pt>
              </c:strCache>
            </c:strRef>
          </c:tx>
          <c:spPr>
            <a:solidFill>
              <a:srgbClr val="C00000"/>
            </a:solidFill>
            <a:ln w="12700">
              <a:solidFill>
                <a:srgbClr val="990000"/>
              </a:solidFill>
            </a:ln>
            <a:effectLst/>
          </c:spPr>
          <c:invertIfNegative val="0"/>
          <c:dLbls>
            <c:numFmt formatCode="[$£-809]#,##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Services'!$A$87:$A$88</c:f>
              <c:strCache>
                <c:ptCount val="2"/>
                <c:pt idx="0">
                  <c:v>EU</c:v>
                </c:pt>
                <c:pt idx="1">
                  <c:v>Non-EU</c:v>
                </c:pt>
              </c:strCache>
            </c:strRef>
          </c:cat>
          <c:val>
            <c:numRef>
              <c:f>'3. Trade in Services'!$B$87:$B$88</c:f>
              <c:numCache>
                <c:formatCode>0.0</c:formatCode>
                <c:ptCount val="2"/>
                <c:pt idx="0">
                  <c:v>30.99</c:v>
                </c:pt>
                <c:pt idx="1">
                  <c:v>61.314016172506733</c:v>
                </c:pt>
              </c:numCache>
            </c:numRef>
          </c:val>
          <c:extLst>
            <c:ext xmlns:c16="http://schemas.microsoft.com/office/drawing/2014/chart" uri="{C3380CC4-5D6E-409C-BE32-E72D297353CC}">
              <c16:uniqueId val="{00000004-7311-44DC-BD35-727CA4150BD8}"/>
            </c:ext>
          </c:extLst>
        </c:ser>
        <c:ser>
          <c:idx val="1"/>
          <c:order val="1"/>
          <c:tx>
            <c:strRef>
              <c:f>'3. Trade in Services'!$C$86</c:f>
              <c:strCache>
                <c:ptCount val="1"/>
                <c:pt idx="0">
                  <c:v>Exports  2018</c:v>
                </c:pt>
              </c:strCache>
            </c:strRef>
          </c:tx>
          <c:spPr>
            <a:solidFill>
              <a:srgbClr val="001C54"/>
            </a:solidFill>
            <a:ln w="12700">
              <a:solidFill>
                <a:sysClr val="windowText" lastClr="000000"/>
              </a:solidFill>
            </a:ln>
            <a:effectLst/>
          </c:spPr>
          <c:invertIfNegative val="0"/>
          <c:dLbls>
            <c:numFmt formatCode="_-[$£-809]* #,##0.0_-;\-[$£-809]* #,##0.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Services'!$A$87:$A$88</c:f>
              <c:strCache>
                <c:ptCount val="2"/>
                <c:pt idx="0">
                  <c:v>EU</c:v>
                </c:pt>
                <c:pt idx="1">
                  <c:v>Non-EU</c:v>
                </c:pt>
              </c:strCache>
            </c:strRef>
          </c:cat>
          <c:val>
            <c:numRef>
              <c:f>'3. Trade in Services'!$C$87:$C$88</c:f>
              <c:numCache>
                <c:formatCode>0.0</c:formatCode>
                <c:ptCount val="2"/>
                <c:pt idx="0">
                  <c:v>116.70699999999999</c:v>
                </c:pt>
                <c:pt idx="1">
                  <c:v>154.78551532033427</c:v>
                </c:pt>
              </c:numCache>
            </c:numRef>
          </c:val>
          <c:extLst>
            <c:ext xmlns:c16="http://schemas.microsoft.com/office/drawing/2014/chart" uri="{C3380CC4-5D6E-409C-BE32-E72D297353CC}">
              <c16:uniqueId val="{00000005-7311-44DC-BD35-727CA4150BD8}"/>
            </c:ext>
          </c:extLst>
        </c:ser>
        <c:dLbls>
          <c:dLblPos val="inEnd"/>
          <c:showLegendKey val="0"/>
          <c:showVal val="1"/>
          <c:showCatName val="0"/>
          <c:showSerName val="0"/>
          <c:showPercent val="0"/>
          <c:showBubbleSize val="0"/>
        </c:dLbls>
        <c:gapWidth val="138"/>
        <c:overlap val="-27"/>
        <c:axId val="576780144"/>
        <c:axId val="576773256"/>
        <c:extLst>
          <c:ext xmlns:c15="http://schemas.microsoft.com/office/drawing/2012/chart" uri="{02D57815-91ED-43cb-92C2-25804820EDAC}">
            <c15:filteredBarSeries>
              <c15:ser>
                <c:idx val="2"/>
                <c:order val="2"/>
                <c:tx>
                  <c:strRef>
                    <c:extLst>
                      <c:ext uri="{02D57815-91ED-43cb-92C2-25804820EDAC}">
                        <c15:formulaRef>
                          <c15:sqref>'3. Trade in Services'!$D$86</c15:sqref>
                        </c15:formulaRef>
                      </c:ext>
                    </c:extLst>
                    <c:strCache>
                      <c:ptCount val="1"/>
                      <c:pt idx="0">
                        <c:v> Imports  1999</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'3. Trade in Services'!$A$87:$A$88</c15:sqref>
                        </c15:formulaRef>
                      </c:ext>
                    </c:extLst>
                    <c:strCache>
                      <c:ptCount val="2"/>
                      <c:pt idx="0">
                        <c:v>EU</c:v>
                      </c:pt>
                      <c:pt idx="1">
                        <c:v>Non-EU</c:v>
                      </c:pt>
                    </c:strCache>
                  </c:strRef>
                </c:cat>
                <c:val>
                  <c:numRef>
                    <c:extLst>
                      <c:ext uri="{02D57815-91ED-43cb-92C2-25804820EDAC}">
                        <c15:formulaRef>
                          <c15:sqref>'3. Trade in Services'!$D$87:$D$88</c15:sqref>
                        </c15:formulaRef>
                      </c:ext>
                    </c:extLst>
                    <c:numCache>
                      <c:formatCode>0.0</c:formatCode>
                      <c:ptCount val="2"/>
                      <c:pt idx="0">
                        <c:v>46.817362340498271</c:v>
                      </c:pt>
                      <c:pt idx="1">
                        <c:v>37.24774720646456</c:v>
                      </c:pt>
                    </c:numCache>
                  </c:numRef>
                </c:val>
                <c:extLst>
                  <c:ext xmlns:c16="http://schemas.microsoft.com/office/drawing/2014/chart" uri="{C3380CC4-5D6E-409C-BE32-E72D297353CC}">
                    <c16:uniqueId val="{00000000-64A7-4434-A451-30C603D2669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'3. Trade in Services'!$E$86</c15:sqref>
                        </c15:formulaRef>
                      </c:ext>
                    </c:extLst>
                    <c:strCache>
                      <c:ptCount val="1"/>
                      <c:pt idx="0">
                        <c:v>Imports   2018</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'3. Trade in Services'!$A$87:$A$88</c15:sqref>
                        </c15:formulaRef>
                      </c:ext>
                    </c:extLst>
                    <c:strCache>
                      <c:ptCount val="2"/>
                      <c:pt idx="0">
                        <c:v>EU</c:v>
                      </c:pt>
                      <c:pt idx="1">
                        <c:v>Non-EU</c:v>
                      </c:pt>
                    </c:strCache>
                  </c:strRef>
                </c:cat>
                <c:val>
                  <c:numRef>
                    <c:extLst xmlns:c15="http://schemas.microsoft.com/office/drawing/2012/chart">
                      <c:ext xmlns:c15="http://schemas.microsoft.com/office/drawing/2012/chart" uri="{02D57815-91ED-43cb-92C2-25804820EDAC}">
                        <c15:formulaRef>
                          <c15:sqref>'3. Trade in Services'!$E$87:$E$88</c15:sqref>
                        </c15:formulaRef>
                      </c:ext>
                    </c:extLst>
                    <c:numCache>
                      <c:formatCode>0.0</c:formatCode>
                      <c:ptCount val="2"/>
                      <c:pt idx="0">
                        <c:v>78.57120743567431</c:v>
                      </c:pt>
                      <c:pt idx="1">
                        <c:v>79.981664668956753</c:v>
                      </c:pt>
                    </c:numCache>
                  </c:numRef>
                </c:val>
                <c:extLst xmlns:c15="http://schemas.microsoft.com/office/drawing/2012/chart">
                  <c:ext xmlns:c16="http://schemas.microsoft.com/office/drawing/2014/chart" uri="{C3380CC4-5D6E-409C-BE32-E72D297353CC}">
                    <c16:uniqueId val="{00000001-64A7-4434-A451-30C603D2669D}"/>
                  </c:ext>
                </c:extLst>
              </c15:ser>
            </c15:filteredBarSeries>
          </c:ext>
        </c:extLst>
      </c:barChart>
      <c:catAx>
        <c:axId val="57678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76773256"/>
        <c:crosses val="autoZero"/>
        <c:auto val="1"/>
        <c:lblAlgn val="ctr"/>
        <c:lblOffset val="100"/>
        <c:noMultiLvlLbl val="0"/>
      </c:catAx>
      <c:valAx>
        <c:axId val="576773256"/>
        <c:scaling>
          <c:orientation val="minMax"/>
          <c:max val="16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576780144"/>
        <c:crosses val="autoZero"/>
        <c:crossBetween val="between"/>
      </c:valAx>
      <c:spPr>
        <a:noFill/>
        <a:ln w="25400">
          <a:noFill/>
        </a:ln>
        <a:effectLst/>
      </c:spPr>
    </c:plotArea>
    <c:legend>
      <c:legendPos val="b"/>
      <c:layout>
        <c:manualLayout>
          <c:xMode val="edge"/>
          <c:yMode val="edge"/>
          <c:x val="0.1653433694292134"/>
          <c:y val="0.87912003191753862"/>
          <c:w val="0.71646911619235676"/>
          <c:h val="0.1012977100707929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cap="none" spc="50" baseline="0">
                <a:solidFill>
                  <a:sysClr val="windowText" lastClr="000000">
                    <a:lumMod val="65000"/>
                    <a:lumOff val="35000"/>
                  </a:sysClr>
                </a:solidFill>
                <a:latin typeface="+mn-lt"/>
                <a:ea typeface="+mn-ea"/>
                <a:cs typeface="+mn-cs"/>
              </a:defRPr>
            </a:pPr>
            <a:r>
              <a:rPr lang="en-AU" cap="none" baseline="0"/>
              <a:t>UK services exports: 2018</a:t>
            </a:r>
          </a:p>
          <a:p>
            <a:pPr marL="0" marR="0" lvl="0" indent="0" algn="ctr" defTabSz="914400" rtl="0" eaLnBrk="1" fontAlgn="auto" latinLnBrk="0" hangingPunct="1">
              <a:lnSpc>
                <a:spcPct val="100000"/>
              </a:lnSpc>
              <a:spcBef>
                <a:spcPts val="0"/>
              </a:spcBef>
              <a:spcAft>
                <a:spcPts val="0"/>
              </a:spcAft>
              <a:buClrTx/>
              <a:buSzTx/>
              <a:buFontTx/>
              <a:buNone/>
              <a:tabLst/>
              <a:defRPr cap="none">
                <a:solidFill>
                  <a:sysClr val="windowText" lastClr="000000">
                    <a:lumMod val="65000"/>
                    <a:lumOff val="35000"/>
                  </a:sysClr>
                </a:solidFill>
              </a:defRPr>
            </a:pPr>
            <a:r>
              <a:rPr lang="en-AU" sz="1200" b="1" i="0" baseline="0">
                <a:effectLst/>
              </a:rPr>
              <a:t>Total: £283.4</a:t>
            </a:r>
            <a:endParaRPr lang="en-AU" sz="1050">
              <a:effectLst/>
            </a:endParaRPr>
          </a:p>
        </c:rich>
      </c:tx>
      <c:layout>
        <c:manualLayout>
          <c:xMode val="edge"/>
          <c:yMode val="edge"/>
          <c:x val="7.5324229845718627E-2"/>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cap="none" spc="5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5.6751454812609271E-2"/>
          <c:y val="0.23828979109993328"/>
          <c:w val="0.48177434549304327"/>
          <c:h val="0.66027173873193479"/>
        </c:manualLayout>
      </c:layout>
      <c:doughnutChart>
        <c:varyColors val="1"/>
        <c:ser>
          <c:idx val="0"/>
          <c:order val="0"/>
          <c:dPt>
            <c:idx val="0"/>
            <c:bubble3D val="0"/>
            <c:spPr>
              <a:solidFill>
                <a:srgbClr val="001C5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C1ED-4BB2-BC60-E7C517A0DE93}"/>
              </c:ext>
            </c:extLst>
          </c:dPt>
          <c:dPt>
            <c:idx val="1"/>
            <c:bubble3D val="0"/>
            <c:spPr>
              <a:solidFill>
                <a:schemeClr val="accent1">
                  <a:lumMod val="75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C1ED-4BB2-BC60-E7C517A0DE93}"/>
              </c:ext>
            </c:extLst>
          </c:dPt>
          <c:dPt>
            <c:idx val="2"/>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C1ED-4BB2-BC60-E7C517A0DE93}"/>
              </c:ext>
            </c:extLst>
          </c:dPt>
          <c:dPt>
            <c:idx val="3"/>
            <c:bubble3D val="0"/>
            <c:spPr>
              <a:solidFill>
                <a:schemeClr val="accent1">
                  <a:lumMod val="60000"/>
                  <a:lumOff val="4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C1ED-4BB2-BC60-E7C517A0DE93}"/>
              </c:ext>
            </c:extLst>
          </c:dPt>
          <c:dPt>
            <c:idx val="4"/>
            <c:bubble3D val="0"/>
            <c:spPr>
              <a:solidFill>
                <a:schemeClr val="accent1">
                  <a:lumMod val="40000"/>
                  <a:lumOff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C1ED-4BB2-BC60-E7C517A0DE93}"/>
              </c:ext>
            </c:extLst>
          </c:dPt>
          <c:dPt>
            <c:idx val="5"/>
            <c:bubble3D val="0"/>
            <c:spPr>
              <a:solidFill>
                <a:schemeClr val="accent5">
                  <a:lumMod val="20000"/>
                  <a:lumOff val="8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C1ED-4BB2-BC60-E7C517A0DE93}"/>
              </c:ext>
            </c:extLst>
          </c:dPt>
          <c:dPt>
            <c:idx val="6"/>
            <c:bubble3D val="0"/>
            <c:spPr>
              <a:solidFill>
                <a:schemeClr val="bg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C1ED-4BB2-BC60-E7C517A0DE93}"/>
              </c:ext>
            </c:extLst>
          </c:dPt>
          <c:dPt>
            <c:idx val="7"/>
            <c:bubble3D val="0"/>
            <c:spPr>
              <a:solidFill>
                <a:schemeClr val="bg1">
                  <a:lumMod val="95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F-C1ED-4BB2-BC60-E7C517A0DE93}"/>
              </c:ext>
            </c:extLst>
          </c:dPt>
          <c:dPt>
            <c:idx val="8"/>
            <c:bubble3D val="0"/>
            <c:spPr>
              <a:solidFill>
                <a:schemeClr val="bg1">
                  <a:lumMod val="85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1-C1ED-4BB2-BC60-E7C517A0DE93}"/>
              </c:ext>
            </c:extLst>
          </c:dPt>
          <c:dLbls>
            <c:dLbl>
              <c:idx val="3"/>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7-C1ED-4BB2-BC60-E7C517A0DE93}"/>
                </c:ext>
              </c:extLst>
            </c:dLbl>
            <c:dLbl>
              <c:idx val="4"/>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9-C1ED-4BB2-BC60-E7C517A0DE93}"/>
                </c:ext>
              </c:extLst>
            </c:dLbl>
            <c:dLbl>
              <c:idx val="5"/>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B-C1ED-4BB2-BC60-E7C517A0DE93}"/>
                </c:ext>
              </c:extLst>
            </c:dLbl>
            <c:dLbl>
              <c:idx val="6"/>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D-C1ED-4BB2-BC60-E7C517A0DE93}"/>
                </c:ext>
              </c:extLst>
            </c:dLbl>
            <c:dLbl>
              <c:idx val="7"/>
              <c:delete val="1"/>
              <c:extLst>
                <c:ext xmlns:c15="http://schemas.microsoft.com/office/drawing/2012/chart" uri="{CE6537A1-D6FC-4f65-9D91-7224C49458BB}"/>
                <c:ext xmlns:c16="http://schemas.microsoft.com/office/drawing/2014/chart" uri="{C3380CC4-5D6E-409C-BE32-E72D297353CC}">
                  <c16:uniqueId val="{0000000F-C1ED-4BB2-BC60-E7C517A0DE93}"/>
                </c:ext>
              </c:extLst>
            </c:dLbl>
            <c:dLbl>
              <c:idx val="8"/>
              <c:delete val="1"/>
              <c:extLst>
                <c:ext xmlns:c15="http://schemas.microsoft.com/office/drawing/2012/chart" uri="{CE6537A1-D6FC-4f65-9D91-7224C49458BB}"/>
                <c:ext xmlns:c16="http://schemas.microsoft.com/office/drawing/2014/chart" uri="{C3380CC4-5D6E-409C-BE32-E72D297353CC}">
                  <c16:uniqueId val="{00000011-C1ED-4BB2-BC60-E7C517A0DE9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'3. Trade in Services'!$A$44:$A$52</c:f>
              <c:strCache>
                <c:ptCount val="9"/>
                <c:pt idx="0">
                  <c:v>Financial services</c:v>
                </c:pt>
                <c:pt idx="1">
                  <c:v>General technical &amp; business services (engineering, architectural etc)</c:v>
                </c:pt>
                <c:pt idx="2">
                  <c:v>Travel</c:v>
                </c:pt>
                <c:pt idx="3">
                  <c:v>Professional services (legal, accounting, management consultancy etc)</c:v>
                </c:pt>
                <c:pt idx="4">
                  <c:v>Transport (air &amp; sea)</c:v>
                </c:pt>
                <c:pt idx="5">
                  <c:v>Telecommunications &amp; IT services</c:v>
                </c:pt>
                <c:pt idx="6">
                  <c:v>Insurance &amp; Pension</c:v>
                </c:pt>
                <c:pt idx="7">
                  <c:v>Intellectual property</c:v>
                </c:pt>
                <c:pt idx="8">
                  <c:v>The rest</c:v>
                </c:pt>
              </c:strCache>
            </c:strRef>
          </c:cat>
          <c:val>
            <c:numRef>
              <c:f>'3. Trade in Services'!$B$44:$B$52</c:f>
              <c:numCache>
                <c:formatCode>_-[$£-809]* #,##0.0_-;\-[$£-809]* #,##0.0_-;_-[$£-809]* "-"??_-;_-@_-</c:formatCode>
                <c:ptCount val="9"/>
                <c:pt idx="0">
                  <c:v>61.411000000000001</c:v>
                </c:pt>
                <c:pt idx="1">
                  <c:v>40.773000000000003</c:v>
                </c:pt>
                <c:pt idx="2">
                  <c:v>38.89</c:v>
                </c:pt>
                <c:pt idx="3">
                  <c:v>32.607999999999997</c:v>
                </c:pt>
                <c:pt idx="4">
                  <c:v>30.219000000000001</c:v>
                </c:pt>
                <c:pt idx="5">
                  <c:v>20.777999999999999</c:v>
                </c:pt>
                <c:pt idx="6">
                  <c:v>19.613</c:v>
                </c:pt>
                <c:pt idx="7">
                  <c:v>17.074000000000002</c:v>
                </c:pt>
                <c:pt idx="8">
                  <c:v>22.044999999999998</c:v>
                </c:pt>
              </c:numCache>
            </c:numRef>
          </c:val>
          <c:extLst>
            <c:ext xmlns:c16="http://schemas.microsoft.com/office/drawing/2014/chart" uri="{C3380CC4-5D6E-409C-BE32-E72D297353CC}">
              <c16:uniqueId val="{00000016-C1ED-4BB2-BC60-E7C517A0DE93}"/>
            </c:ext>
          </c:extLst>
        </c:ser>
        <c:dLbls>
          <c:showLegendKey val="0"/>
          <c:showVal val="0"/>
          <c:showCatName val="0"/>
          <c:showSerName val="0"/>
          <c:showPercent val="1"/>
          <c:showBubbleSize val="0"/>
          <c:showLeaderLines val="0"/>
        </c:dLbls>
        <c:firstSliceAng val="0"/>
        <c:holeSize val="50"/>
      </c:doughnutChart>
      <c:spPr>
        <a:noFill/>
        <a:ln>
          <a:noFill/>
        </a:ln>
        <a:effectLst/>
      </c:spPr>
    </c:plotArea>
    <c:legend>
      <c:legendPos val="r"/>
      <c:layout>
        <c:manualLayout>
          <c:xMode val="edge"/>
          <c:yMode val="edge"/>
          <c:x val="0.52026541364751855"/>
          <c:y val="0.21867326388807568"/>
          <c:w val="0.47024620270483813"/>
          <c:h val="0.71775689489723404"/>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EU Balance of Trade on UK service sector exports</a:t>
            </a:r>
          </a:p>
        </c:rich>
      </c:tx>
      <c:layout>
        <c:manualLayout>
          <c:xMode val="edge"/>
          <c:yMode val="edge"/>
          <c:x val="0.24518033740546827"/>
          <c:y val="5.275569960823516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195996602012118E-2"/>
          <c:y val="0.18164960838100583"/>
          <c:w val="0.83440436232402071"/>
          <c:h val="0.58238132465941173"/>
        </c:manualLayout>
      </c:layout>
      <c:barChart>
        <c:barDir val="col"/>
        <c:grouping val="clustered"/>
        <c:varyColors val="0"/>
        <c:ser>
          <c:idx val="0"/>
          <c:order val="0"/>
          <c:tx>
            <c:strRef>
              <c:f>'3. Trade in Services'!$A$59</c:f>
              <c:strCache>
                <c:ptCount val="1"/>
                <c:pt idx="0">
                  <c:v>Financial services</c:v>
                </c:pt>
              </c:strCache>
            </c:strRef>
          </c:tx>
          <c:spPr>
            <a:solidFill>
              <a:srgbClr val="7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'3. Trade in Services'!$D$59</c:f>
              <c:numCache>
                <c:formatCode>_-[$£-809]* #,##0.0_-;\-[$£-809]* #,##0.0_-;_-[$£-809]* "-"??_-;_-@_-</c:formatCode>
                <c:ptCount val="1"/>
                <c:pt idx="0">
                  <c:v>20.420000000000002</c:v>
                </c:pt>
              </c:numCache>
            </c:numRef>
          </c:val>
          <c:extLst>
            <c:ext xmlns:c16="http://schemas.microsoft.com/office/drawing/2014/chart" uri="{C3380CC4-5D6E-409C-BE32-E72D297353CC}">
              <c16:uniqueId val="{00000012-E42A-498B-A8AA-FDC7E3F2DE1A}"/>
            </c:ext>
          </c:extLst>
        </c:ser>
        <c:ser>
          <c:idx val="1"/>
          <c:order val="1"/>
          <c:tx>
            <c:strRef>
              <c:f>'3. Trade in Services'!$A$60</c:f>
              <c:strCache>
                <c:ptCount val="1"/>
                <c:pt idx="0">
                  <c:v>General technical &amp; business services (engineering, architectural etc)</c:v>
                </c:pt>
              </c:strCache>
            </c:strRef>
          </c:tx>
          <c:spPr>
            <a:solidFill>
              <a:srgbClr val="C00000"/>
            </a:solidFill>
            <a:ln>
              <a:solidFill>
                <a:srgbClr val="99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'3. Trade in Services'!$D$60</c:f>
              <c:numCache>
                <c:formatCode>_-[$£-809]* #,##0.0_-;\-[$£-809]* #,##0.0_-;_-[$£-809]* "-"??_-;_-@_-</c:formatCode>
                <c:ptCount val="1"/>
                <c:pt idx="0">
                  <c:v>4.9820000000000011</c:v>
                </c:pt>
              </c:numCache>
            </c:numRef>
          </c:val>
          <c:extLst>
            <c:ext xmlns:c16="http://schemas.microsoft.com/office/drawing/2014/chart" uri="{C3380CC4-5D6E-409C-BE32-E72D297353CC}">
              <c16:uniqueId val="{00000013-E42A-498B-A8AA-FDC7E3F2DE1A}"/>
            </c:ext>
          </c:extLst>
        </c:ser>
        <c:ser>
          <c:idx val="2"/>
          <c:order val="2"/>
          <c:tx>
            <c:strRef>
              <c:f>'3. Trade in Services'!$A$61</c:f>
              <c:strCache>
                <c:ptCount val="1"/>
                <c:pt idx="0">
                  <c:v>Travel</c:v>
                </c:pt>
              </c:strCache>
            </c:strRef>
          </c:tx>
          <c:spPr>
            <a:solidFill>
              <a:srgbClr val="F1581B"/>
            </a:solidFill>
            <a:ln>
              <a:solidFill>
                <a:srgbClr val="99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'3. Trade in Services'!$D$61</c:f>
              <c:numCache>
                <c:formatCode>_-[$£-809]* #,##0.0_-;\-[$£-809]* #,##0.0_-;_-[$£-809]* "-"??_-;_-@_-</c:formatCode>
                <c:ptCount val="1"/>
                <c:pt idx="0">
                  <c:v>-17.645</c:v>
                </c:pt>
              </c:numCache>
            </c:numRef>
          </c:val>
          <c:extLst>
            <c:ext xmlns:c16="http://schemas.microsoft.com/office/drawing/2014/chart" uri="{C3380CC4-5D6E-409C-BE32-E72D297353CC}">
              <c16:uniqueId val="{00000014-E42A-498B-A8AA-FDC7E3F2DE1A}"/>
            </c:ext>
          </c:extLst>
        </c:ser>
        <c:ser>
          <c:idx val="3"/>
          <c:order val="3"/>
          <c:tx>
            <c:strRef>
              <c:f>'3. Trade in Services'!$A$62</c:f>
              <c:strCache>
                <c:ptCount val="1"/>
                <c:pt idx="0">
                  <c:v>Professional services (legal, accounting, management consultancy etc)</c:v>
                </c:pt>
              </c:strCache>
            </c:strRef>
          </c:tx>
          <c:spPr>
            <a:solidFill>
              <a:schemeClr val="accent4"/>
            </a:solidFill>
            <a:ln>
              <a:solidFill>
                <a:srgbClr val="F1581B"/>
              </a:solidFill>
            </a:ln>
            <a:effectLst/>
          </c:spPr>
          <c:invertIfNegative val="0"/>
          <c:dPt>
            <c:idx val="0"/>
            <c:invertIfNegative val="0"/>
            <c:bubble3D val="0"/>
            <c:spPr>
              <a:solidFill>
                <a:srgbClr val="FBB647"/>
              </a:solidFill>
              <a:ln>
                <a:solidFill>
                  <a:srgbClr val="F1581B"/>
                </a:solidFill>
              </a:ln>
              <a:effectLst/>
            </c:spPr>
            <c:extLst>
              <c:ext xmlns:c16="http://schemas.microsoft.com/office/drawing/2014/chart" uri="{C3380CC4-5D6E-409C-BE32-E72D297353CC}">
                <c16:uniqueId val="{00000000-1E46-402B-B219-EC05D4833C1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'3. Trade in Services'!$D$62</c:f>
              <c:numCache>
                <c:formatCode>_-[$£-809]* #,##0.0_-;\-[$£-809]* #,##0.0_-;_-[$£-809]* "-"??_-;_-@_-</c:formatCode>
                <c:ptCount val="1"/>
                <c:pt idx="0">
                  <c:v>8.5139999999999993</c:v>
                </c:pt>
              </c:numCache>
            </c:numRef>
          </c:val>
          <c:extLst>
            <c:ext xmlns:c16="http://schemas.microsoft.com/office/drawing/2014/chart" uri="{C3380CC4-5D6E-409C-BE32-E72D297353CC}">
              <c16:uniqueId val="{00000015-E42A-498B-A8AA-FDC7E3F2DE1A}"/>
            </c:ext>
          </c:extLst>
        </c:ser>
        <c:ser>
          <c:idx val="4"/>
          <c:order val="4"/>
          <c:tx>
            <c:strRef>
              <c:f>'3. Trade in Services'!$A$64</c:f>
              <c:strCache>
                <c:ptCount val="1"/>
                <c:pt idx="0">
                  <c:v>Telecommunications &amp; IT services</c:v>
                </c:pt>
              </c:strCache>
            </c:strRef>
          </c:tx>
          <c:spPr>
            <a:solidFill>
              <a:srgbClr val="FFFF00"/>
            </a:solidFill>
            <a:ln>
              <a:solidFill>
                <a:srgbClr val="FFC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'3. Trade in Services'!$D$64</c:f>
              <c:numCache>
                <c:formatCode>_-[$£-809]* #,##0.0_-;\-[$£-809]* #,##0.0_-;_-[$£-809]* "-"??_-;_-@_-</c:formatCode>
                <c:ptCount val="1"/>
                <c:pt idx="0">
                  <c:v>2.0119999999999996</c:v>
                </c:pt>
              </c:numCache>
            </c:numRef>
          </c:val>
          <c:extLst>
            <c:ext xmlns:c16="http://schemas.microsoft.com/office/drawing/2014/chart" uri="{C3380CC4-5D6E-409C-BE32-E72D297353CC}">
              <c16:uniqueId val="{00000016-E42A-498B-A8AA-FDC7E3F2DE1A}"/>
            </c:ext>
          </c:extLst>
        </c:ser>
        <c:ser>
          <c:idx val="5"/>
          <c:order val="5"/>
          <c:tx>
            <c:strRef>
              <c:f>'3. Trade in Services'!$A$65</c:f>
              <c:strCache>
                <c:ptCount val="1"/>
                <c:pt idx="0">
                  <c:v>Insurance &amp; Pension</c:v>
                </c:pt>
              </c:strCache>
            </c:strRef>
          </c:tx>
          <c:spPr>
            <a:solidFill>
              <a:schemeClr val="accent4">
                <a:lumMod val="40000"/>
                <a:lumOff val="60000"/>
              </a:schemeClr>
            </a:solidFill>
            <a:ln>
              <a:noFill/>
            </a:ln>
            <a:effectLst/>
          </c:spPr>
          <c:invertIfNegative val="0"/>
          <c:dPt>
            <c:idx val="0"/>
            <c:invertIfNegative val="0"/>
            <c:bubble3D val="0"/>
            <c:spPr>
              <a:solidFill>
                <a:schemeClr val="accent4">
                  <a:lumMod val="40000"/>
                  <a:lumOff val="60000"/>
                </a:schemeClr>
              </a:solidFill>
              <a:ln>
                <a:solidFill>
                  <a:srgbClr val="FF832F"/>
                </a:solidFill>
              </a:ln>
              <a:effectLst/>
            </c:spPr>
            <c:extLst>
              <c:ext xmlns:c16="http://schemas.microsoft.com/office/drawing/2014/chart" uri="{C3380CC4-5D6E-409C-BE32-E72D297353CC}">
                <c16:uniqueId val="{00000005-96D2-423A-8EB2-1AB9D9D5318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'3. Trade in Services'!$D$65</c:f>
              <c:numCache>
                <c:formatCode>_-[$£-809]* #,##0.0_-;\-[$£-809]* #,##0.0_-;_-[$£-809]* "-"??_-;_-@_-</c:formatCode>
                <c:ptCount val="1"/>
                <c:pt idx="0">
                  <c:v>5.5040000000000004</c:v>
                </c:pt>
              </c:numCache>
            </c:numRef>
          </c:val>
          <c:extLst>
            <c:ext xmlns:c16="http://schemas.microsoft.com/office/drawing/2014/chart" uri="{C3380CC4-5D6E-409C-BE32-E72D297353CC}">
              <c16:uniqueId val="{00000017-E42A-498B-A8AA-FDC7E3F2DE1A}"/>
            </c:ext>
          </c:extLst>
        </c:ser>
        <c:ser>
          <c:idx val="6"/>
          <c:order val="6"/>
          <c:tx>
            <c:strRef>
              <c:f>'3. Trade in Services'!$A$66</c:f>
              <c:strCache>
                <c:ptCount val="1"/>
                <c:pt idx="0">
                  <c:v>Intellectual property</c:v>
                </c:pt>
              </c:strCache>
            </c:strRef>
          </c:tx>
          <c:spPr>
            <a:solidFill>
              <a:schemeClr val="bg1">
                <a:lumMod val="85000"/>
              </a:schemeClr>
            </a:solidFill>
            <a:ln>
              <a:noFill/>
            </a:ln>
            <a:effectLst/>
          </c:spPr>
          <c:invertIfNegative val="0"/>
          <c:dPt>
            <c:idx val="0"/>
            <c:invertIfNegative val="0"/>
            <c:bubble3D val="0"/>
            <c:spPr>
              <a:solidFill>
                <a:schemeClr val="bg1">
                  <a:lumMod val="85000"/>
                </a:schemeClr>
              </a:solidFill>
              <a:ln>
                <a:solidFill>
                  <a:schemeClr val="bg2">
                    <a:lumMod val="75000"/>
                  </a:schemeClr>
                </a:solidFill>
              </a:ln>
              <a:effectLst/>
            </c:spPr>
            <c:extLst>
              <c:ext xmlns:c16="http://schemas.microsoft.com/office/drawing/2014/chart" uri="{C3380CC4-5D6E-409C-BE32-E72D297353CC}">
                <c16:uniqueId val="{00000009-96D2-423A-8EB2-1AB9D9D5318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'3. Trade in Services'!$D$66</c:f>
              <c:numCache>
                <c:formatCode>_-[$£-809]* #,##0.0_-;\-[$£-809]* #,##0.0_-;_-[$£-809]* "-"??_-;_-@_-</c:formatCode>
                <c:ptCount val="1"/>
                <c:pt idx="0">
                  <c:v>2.6380000000000003</c:v>
                </c:pt>
              </c:numCache>
            </c:numRef>
          </c:val>
          <c:extLst>
            <c:ext xmlns:c16="http://schemas.microsoft.com/office/drawing/2014/chart" uri="{C3380CC4-5D6E-409C-BE32-E72D297353CC}">
              <c16:uniqueId val="{00000018-E42A-498B-A8AA-FDC7E3F2DE1A}"/>
            </c:ext>
          </c:extLst>
        </c:ser>
        <c:ser>
          <c:idx val="7"/>
          <c:order val="7"/>
          <c:tx>
            <c:strRef>
              <c:f>'3. Trade in Services'!#REF!</c:f>
              <c:strCache>
                <c:ptCount val="1"/>
                <c:pt idx="0">
                  <c:v>#REF!</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'3. Trade in Services'!#REF!</c:f>
              <c:numCache>
                <c:formatCode>General</c:formatCode>
                <c:ptCount val="1"/>
                <c:pt idx="0">
                  <c:v>1</c:v>
                </c:pt>
              </c:numCache>
            </c:numRef>
          </c:val>
          <c:extLst>
            <c:ext xmlns:c16="http://schemas.microsoft.com/office/drawing/2014/chart" uri="{C3380CC4-5D6E-409C-BE32-E72D297353CC}">
              <c16:uniqueId val="{00000019-E42A-498B-A8AA-FDC7E3F2DE1A}"/>
            </c:ext>
          </c:extLst>
        </c:ser>
        <c:dLbls>
          <c:dLblPos val="outEnd"/>
          <c:showLegendKey val="0"/>
          <c:showVal val="1"/>
          <c:showCatName val="0"/>
          <c:showSerName val="0"/>
          <c:showPercent val="0"/>
          <c:showBubbleSize val="0"/>
        </c:dLbls>
        <c:gapWidth val="219"/>
        <c:overlap val="-27"/>
        <c:axId val="831278512"/>
        <c:axId val="831269984"/>
      </c:barChart>
      <c:catAx>
        <c:axId val="831278512"/>
        <c:scaling>
          <c:orientation val="minMax"/>
        </c:scaling>
        <c:delete val="1"/>
        <c:axPos val="b"/>
        <c:numFmt formatCode="_-[$£-809]* #,##0.0_-;\-[$£-809]* #,##0.0_-;_-[$£-809]* &quot;-&quot;??_-;_-@_-" sourceLinked="1"/>
        <c:majorTickMark val="none"/>
        <c:minorTickMark val="none"/>
        <c:tickLblPos val="nextTo"/>
        <c:crossAx val="831269984"/>
        <c:crosses val="autoZero"/>
        <c:auto val="1"/>
        <c:lblAlgn val="ctr"/>
        <c:lblOffset val="100"/>
        <c:noMultiLvlLbl val="0"/>
      </c:catAx>
      <c:valAx>
        <c:axId val="831269984"/>
        <c:scaling>
          <c:orientation val="minMax"/>
          <c:max val="25"/>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latin typeface="Calibri" panose="020F0502020204030204" pitchFamily="34" charset="0"/>
                    <a:cs typeface="Calibri" panose="020F0502020204030204" pitchFamily="34" charset="0"/>
                  </a:rPr>
                  <a:t>£ Billion</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1278512"/>
        <c:crosses val="autoZero"/>
        <c:crossBetween val="between"/>
      </c:valAx>
      <c:spPr>
        <a:noFill/>
        <a:ln>
          <a:noFill/>
        </a:ln>
        <a:effectLst/>
      </c:spPr>
    </c:plotArea>
    <c:legend>
      <c:legendPos val="b"/>
      <c:layout>
        <c:manualLayout>
          <c:xMode val="edge"/>
          <c:yMode val="edge"/>
          <c:x val="6.3286971830985916E-2"/>
          <c:y val="0.7806368921007103"/>
          <c:w val="0.91379563921993512"/>
          <c:h val="0.18774018880182669"/>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Non-EU Balance of Trade on UK service sector exports</a:t>
            </a:r>
          </a:p>
        </c:rich>
      </c:tx>
      <c:layout>
        <c:manualLayout>
          <c:xMode val="edge"/>
          <c:yMode val="edge"/>
          <c:x val="0.24518033740546827"/>
          <c:y val="5.275569960823516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655606717226439E-2"/>
          <c:y val="0.21555371198652915"/>
          <c:w val="0.85843959505061862"/>
          <c:h val="0.56673184193185766"/>
        </c:manualLayout>
      </c:layout>
      <c:barChart>
        <c:barDir val="col"/>
        <c:grouping val="clustered"/>
        <c:varyColors val="0"/>
        <c:ser>
          <c:idx val="0"/>
          <c:order val="0"/>
          <c:tx>
            <c:strRef>
              <c:f>'3. Trade in Services'!$A$71</c:f>
              <c:strCache>
                <c:ptCount val="1"/>
                <c:pt idx="0">
                  <c:v>Financial services</c:v>
                </c:pt>
              </c:strCache>
            </c:strRef>
          </c:tx>
          <c:spPr>
            <a:solidFill>
              <a:schemeClr val="accent1">
                <a:lumMod val="50000"/>
              </a:schemeClr>
            </a:solidFill>
            <a:ln>
              <a:noFill/>
            </a:ln>
            <a:effectLst/>
          </c:spPr>
          <c:invertIfNegative val="0"/>
          <c:dPt>
            <c:idx val="0"/>
            <c:invertIfNegative val="0"/>
            <c:bubble3D val="0"/>
            <c:spPr>
              <a:solidFill>
                <a:schemeClr val="accent1">
                  <a:lumMod val="50000"/>
                </a:schemeClr>
              </a:solidFill>
              <a:ln>
                <a:solidFill>
                  <a:srgbClr val="450701"/>
                </a:solidFill>
              </a:ln>
              <a:effectLst/>
            </c:spPr>
            <c:extLst>
              <c:ext xmlns:c16="http://schemas.microsoft.com/office/drawing/2014/chart" uri="{C3380CC4-5D6E-409C-BE32-E72D297353CC}">
                <c16:uniqueId val="{00000004-B8D3-4452-9265-27FD251304E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'3. Trade in Services'!$B$71:$D$71</c15:sqref>
                  </c15:fullRef>
                </c:ext>
              </c:extLst>
              <c:f>'3. Trade in Services'!$D$71</c:f>
              <c:numCache>
                <c:formatCode>_-[$£-809]* #,##0.0_-;\-[$£-809]* #,##0.0_-;_-[$£-809]* "-"??_-;_-@_-</c:formatCode>
                <c:ptCount val="1"/>
                <c:pt idx="0">
                  <c:v>22.548999999999999</c:v>
                </c:pt>
              </c:numCache>
            </c:numRef>
          </c:val>
          <c:extLst>
            <c:ext xmlns:c16="http://schemas.microsoft.com/office/drawing/2014/chart" uri="{C3380CC4-5D6E-409C-BE32-E72D297353CC}">
              <c16:uniqueId val="{00000000-4664-4414-9519-0C675CBC9374}"/>
            </c:ext>
          </c:extLst>
        </c:ser>
        <c:ser>
          <c:idx val="1"/>
          <c:order val="1"/>
          <c:tx>
            <c:strRef>
              <c:f>'3. Trade in Services'!$A$72</c:f>
              <c:strCache>
                <c:ptCount val="1"/>
                <c:pt idx="0">
                  <c:v>General technical &amp; business services (engineering, architectural etc)</c:v>
                </c:pt>
              </c:strCache>
            </c:strRef>
          </c:tx>
          <c:spPr>
            <a:solidFill>
              <a:schemeClr val="accent1">
                <a:lumMod val="75000"/>
              </a:schemeClr>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'3. Trade in Services'!$B$72:$D$72</c15:sqref>
                  </c15:fullRef>
                </c:ext>
              </c:extLst>
              <c:f>'3. Trade in Services'!$D$72</c:f>
              <c:numCache>
                <c:formatCode>_-[$£-809]* #,##0.0_-;\-[$£-809]* #,##0.0_-;_-[$£-809]* "-"??_-;_-@_-</c:formatCode>
                <c:ptCount val="1"/>
                <c:pt idx="0">
                  <c:v>7.4540000000000006</c:v>
                </c:pt>
              </c:numCache>
            </c:numRef>
          </c:val>
          <c:extLst>
            <c:ext xmlns:c16="http://schemas.microsoft.com/office/drawing/2014/chart" uri="{C3380CC4-5D6E-409C-BE32-E72D297353CC}">
              <c16:uniqueId val="{00000001-4664-4414-9519-0C675CBC9374}"/>
            </c:ext>
          </c:extLst>
        </c:ser>
        <c:ser>
          <c:idx val="2"/>
          <c:order val="2"/>
          <c:tx>
            <c:strRef>
              <c:f>'3. Trade in Services'!$A$73</c:f>
              <c:strCache>
                <c:ptCount val="1"/>
                <c:pt idx="0">
                  <c:v>Travel</c:v>
                </c:pt>
              </c:strCache>
            </c:strRef>
          </c:tx>
          <c:spPr>
            <a:solidFill>
              <a:srgbClr val="0070C0"/>
            </a:solidFill>
            <a:ln>
              <a:solidFill>
                <a:schemeClr val="accent5">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'3. Trade in Services'!$B$73:$D$73</c15:sqref>
                  </c15:fullRef>
                </c:ext>
              </c:extLst>
              <c:f>'3. Trade in Services'!$D$73</c:f>
              <c:numCache>
                <c:formatCode>_-[$£-809]* #,##0.0_-;\-[$£-809]* #,##0.0_-;_-[$£-809]* "-"??_-;_-@_-</c:formatCode>
                <c:ptCount val="1"/>
                <c:pt idx="0">
                  <c:v>-0.2970000000000006</c:v>
                </c:pt>
              </c:numCache>
            </c:numRef>
          </c:val>
          <c:extLst>
            <c:ext xmlns:c16="http://schemas.microsoft.com/office/drawing/2014/chart" uri="{C3380CC4-5D6E-409C-BE32-E72D297353CC}">
              <c16:uniqueId val="{00000002-4664-4414-9519-0C675CBC9374}"/>
            </c:ext>
          </c:extLst>
        </c:ser>
        <c:ser>
          <c:idx val="3"/>
          <c:order val="3"/>
          <c:tx>
            <c:strRef>
              <c:f>'3. Trade in Services'!$A$74</c:f>
              <c:strCache>
                <c:ptCount val="1"/>
                <c:pt idx="0">
                  <c:v>Professional services (legal, accounting, management consultancy etc)</c:v>
                </c:pt>
              </c:strCache>
            </c:strRef>
          </c:tx>
          <c:spPr>
            <a:solidFill>
              <a:schemeClr val="accent1">
                <a:lumMod val="60000"/>
                <a:lumOff val="40000"/>
              </a:schemeClr>
            </a:solidFill>
            <a:ln>
              <a:solidFill>
                <a:schemeClr val="accent1">
                  <a:lumMod val="60000"/>
                  <a:lumOff val="40000"/>
                </a:schemeClr>
              </a:solidFill>
            </a:ln>
            <a:effectLst/>
          </c:spPr>
          <c:invertIfNegative val="0"/>
          <c:dPt>
            <c:idx val="0"/>
            <c:invertIfNegative val="0"/>
            <c:bubble3D val="0"/>
            <c:spPr>
              <a:solidFill>
                <a:schemeClr val="accent1">
                  <a:lumMod val="60000"/>
                  <a:lumOff val="40000"/>
                </a:schemeClr>
              </a:solidFill>
              <a:ln>
                <a:solidFill>
                  <a:schemeClr val="accent1">
                    <a:lumMod val="75000"/>
                  </a:schemeClr>
                </a:solidFill>
              </a:ln>
              <a:effectLst/>
            </c:spPr>
            <c:extLst>
              <c:ext xmlns:c16="http://schemas.microsoft.com/office/drawing/2014/chart" uri="{C3380CC4-5D6E-409C-BE32-E72D297353CC}">
                <c16:uniqueId val="{00000008-B8D3-4452-9265-27FD251304E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'3. Trade in Services'!$B$74:$D$74</c15:sqref>
                  </c15:fullRef>
                </c:ext>
              </c:extLst>
              <c:f>'3. Trade in Services'!$D$74</c:f>
              <c:numCache>
                <c:formatCode>_-[$£-809]* #,##0.0_-;\-[$£-809]* #,##0.0_-;_-[$£-809]* "-"??_-;_-@_-</c:formatCode>
                <c:ptCount val="1"/>
                <c:pt idx="0">
                  <c:v>14.754999999999999</c:v>
                </c:pt>
              </c:numCache>
            </c:numRef>
          </c:val>
          <c:extLst>
            <c:ext xmlns:c16="http://schemas.microsoft.com/office/drawing/2014/chart" uri="{C3380CC4-5D6E-409C-BE32-E72D297353CC}">
              <c16:uniqueId val="{00000003-4664-4414-9519-0C675CBC9374}"/>
            </c:ext>
          </c:extLst>
        </c:ser>
        <c:ser>
          <c:idx val="4"/>
          <c:order val="4"/>
          <c:tx>
            <c:strRef>
              <c:f>'3. Trade in Services'!$A$75</c:f>
              <c:strCache>
                <c:ptCount val="1"/>
                <c:pt idx="0">
                  <c:v>Transport (air &amp; sea)</c:v>
                </c:pt>
              </c:strCache>
            </c:strRef>
          </c:tx>
          <c:spPr>
            <a:solidFill>
              <a:schemeClr val="accent5"/>
            </a:solidFill>
            <a:ln>
              <a:solidFill>
                <a:schemeClr val="accent1">
                  <a:lumMod val="60000"/>
                  <a:lumOff val="40000"/>
                </a:schemeClr>
              </a:solidFill>
            </a:ln>
            <a:effectLst/>
          </c:spPr>
          <c:invertIfNegative val="0"/>
          <c:dPt>
            <c:idx val="0"/>
            <c:invertIfNegative val="0"/>
            <c:bubble3D val="0"/>
            <c:spPr>
              <a:solidFill>
                <a:schemeClr val="accent5">
                  <a:lumMod val="40000"/>
                  <a:lumOff val="60000"/>
                </a:schemeClr>
              </a:solidFill>
              <a:ln>
                <a:solidFill>
                  <a:schemeClr val="accent1">
                    <a:lumMod val="60000"/>
                    <a:lumOff val="40000"/>
                  </a:schemeClr>
                </a:solidFill>
              </a:ln>
              <a:effectLst/>
            </c:spPr>
            <c:extLst>
              <c:ext xmlns:c16="http://schemas.microsoft.com/office/drawing/2014/chart" uri="{C3380CC4-5D6E-409C-BE32-E72D297353CC}">
                <c16:uniqueId val="{0000000A-5678-41F6-9B1E-7D8847CC8B4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'3. Trade in Services'!$B$75:$D$75</c15:sqref>
                  </c15:fullRef>
                </c:ext>
              </c:extLst>
              <c:f>'3. Trade in Services'!$D$75</c:f>
              <c:numCache>
                <c:formatCode>_-[$£-809]* #,##0.0_-;\-[$£-809]* #,##0.0_-;_-[$£-809]* "-"??_-;_-@_-</c:formatCode>
                <c:ptCount val="1"/>
                <c:pt idx="0">
                  <c:v>5.93</c:v>
                </c:pt>
              </c:numCache>
            </c:numRef>
          </c:val>
          <c:extLst>
            <c:ext xmlns:c16="http://schemas.microsoft.com/office/drawing/2014/chart" uri="{C3380CC4-5D6E-409C-BE32-E72D297353CC}">
              <c16:uniqueId val="{00000004-4664-4414-9519-0C675CBC9374}"/>
            </c:ext>
          </c:extLst>
        </c:ser>
        <c:ser>
          <c:idx val="5"/>
          <c:order val="5"/>
          <c:tx>
            <c:strRef>
              <c:f>'3. Trade in Services'!$A$76</c:f>
              <c:strCache>
                <c:ptCount val="1"/>
                <c:pt idx="0">
                  <c:v>Telecommunications &amp; IT services</c:v>
                </c:pt>
              </c:strCache>
            </c:strRef>
          </c:tx>
          <c:spPr>
            <a:solidFill>
              <a:schemeClr val="bg1">
                <a:lumMod val="95000"/>
              </a:schemeClr>
            </a:solidFill>
            <a:ln>
              <a:solidFill>
                <a:schemeClr val="accent1">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'3. Trade in Services'!$B$76:$D$76</c15:sqref>
                  </c15:fullRef>
                </c:ext>
              </c:extLst>
              <c:f>'3. Trade in Services'!$D$76</c:f>
              <c:numCache>
                <c:formatCode>_-[$£-809]* #,##0.0_-;\-[$£-809]* #,##0.0_-;_-[$£-809]* "-"??_-;_-@_-</c:formatCode>
                <c:ptCount val="1"/>
                <c:pt idx="0">
                  <c:v>5.9010000000000007</c:v>
                </c:pt>
              </c:numCache>
            </c:numRef>
          </c:val>
          <c:extLst>
            <c:ext xmlns:c16="http://schemas.microsoft.com/office/drawing/2014/chart" uri="{C3380CC4-5D6E-409C-BE32-E72D297353CC}">
              <c16:uniqueId val="{00000005-4664-4414-9519-0C675CBC9374}"/>
            </c:ext>
          </c:extLst>
        </c:ser>
        <c:ser>
          <c:idx val="6"/>
          <c:order val="6"/>
          <c:tx>
            <c:strRef>
              <c:f>'3. Trade in Services'!$A$77</c:f>
              <c:strCache>
                <c:ptCount val="1"/>
                <c:pt idx="0">
                  <c:v>Insurance &amp; Pension</c:v>
                </c:pt>
              </c:strCache>
            </c:strRef>
          </c:tx>
          <c:spPr>
            <a:solidFill>
              <a:schemeClr val="bg1">
                <a:lumMod val="65000"/>
              </a:schemeClr>
            </a:solidFill>
            <a:ln>
              <a:solidFill>
                <a:schemeClr val="tx1">
                  <a:lumMod val="65000"/>
                  <a:lumOff val="3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'3. Trade in Services'!$B$77:$D$77</c15:sqref>
                  </c15:fullRef>
                </c:ext>
              </c:extLst>
              <c:f>'3. Trade in Services'!$D$77</c:f>
              <c:numCache>
                <c:formatCode>_-[$£-809]* #,##0.0_-;\-[$£-809]* #,##0.0_-;_-[$£-809]* "-"??_-;_-@_-</c:formatCode>
                <c:ptCount val="1"/>
                <c:pt idx="0">
                  <c:v>12.331999999999999</c:v>
                </c:pt>
              </c:numCache>
            </c:numRef>
          </c:val>
          <c:extLst>
            <c:ext xmlns:c16="http://schemas.microsoft.com/office/drawing/2014/chart" uri="{C3380CC4-5D6E-409C-BE32-E72D297353CC}">
              <c16:uniqueId val="{00000006-4664-4414-9519-0C675CBC9374}"/>
            </c:ext>
          </c:extLst>
        </c:ser>
        <c:ser>
          <c:idx val="7"/>
          <c:order val="7"/>
          <c:tx>
            <c:strRef>
              <c:f>'3. Trade in Services'!$A$78</c:f>
              <c:strCache>
                <c:ptCount val="1"/>
                <c:pt idx="0">
                  <c:v>Intellectual property</c:v>
                </c:pt>
              </c:strCache>
            </c:strRef>
          </c:tx>
          <c:spPr>
            <a:solidFill>
              <a:schemeClr val="tx1">
                <a:lumMod val="65000"/>
                <a:lumOff val="3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'3. Trade in Services'!$B$78:$D$78</c15:sqref>
                  </c15:fullRef>
                </c:ext>
              </c:extLst>
              <c:f>'3. Trade in Services'!$D$78</c:f>
              <c:numCache>
                <c:formatCode>_-[$£-809]* #,##0.0_-;\-[$£-809]* #,##0.0_-;_-[$£-809]* "-"??_-;_-@_-</c:formatCode>
                <c:ptCount val="1"/>
                <c:pt idx="0">
                  <c:v>4.4189999999999996</c:v>
                </c:pt>
              </c:numCache>
            </c:numRef>
          </c:val>
          <c:extLst>
            <c:ext xmlns:c16="http://schemas.microsoft.com/office/drawing/2014/chart" uri="{C3380CC4-5D6E-409C-BE32-E72D297353CC}">
              <c16:uniqueId val="{00000007-4664-4414-9519-0C675CBC9374}"/>
            </c:ext>
          </c:extLst>
        </c:ser>
        <c:dLbls>
          <c:dLblPos val="outEnd"/>
          <c:showLegendKey val="0"/>
          <c:showVal val="1"/>
          <c:showCatName val="0"/>
          <c:showSerName val="0"/>
          <c:showPercent val="0"/>
          <c:showBubbleSize val="0"/>
        </c:dLbls>
        <c:gapWidth val="219"/>
        <c:overlap val="-27"/>
        <c:axId val="831278512"/>
        <c:axId val="831269984"/>
        <c:extLst>
          <c:ext xmlns:c15="http://schemas.microsoft.com/office/drawing/2012/chart" uri="{02D57815-91ED-43cb-92C2-25804820EDAC}">
            <c15:filteredBarSeries>
              <c15:ser>
                <c:idx val="8"/>
                <c:order val="8"/>
                <c:tx>
                  <c:strRef>
                    <c:extLst>
                      <c:ext uri="{02D57815-91ED-43cb-92C2-25804820EDAC}">
                        <c15:formulaRef>
                          <c15:sqref>'3. Trade in Services'!$A$79</c15:sqref>
                        </c15:formulaRef>
                      </c:ext>
                    </c:extLst>
                    <c:strCache>
                      <c:ptCount val="1"/>
                      <c:pt idx="0">
                        <c:v>The Rest</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ullRef>
                          <c15:sqref>'3. Trade in Services'!$B$79:$D$79</c15:sqref>
                        </c15:fullRef>
                        <c15:formulaRef>
                          <c15:sqref>'3. Trade in Services'!$D$79</c15:sqref>
                        </c15:formulaRef>
                      </c:ext>
                    </c:extLst>
                    <c:numCache>
                      <c:formatCode>_-[$£-809]* #,##0.0_-;\-[$£-809]* #,##0.0_-;_-[$£-809]* "-"??_-;_-@_-</c:formatCode>
                      <c:ptCount val="1"/>
                      <c:pt idx="0">
                        <c:v>4.6769999999999996</c:v>
                      </c:pt>
                    </c:numCache>
                  </c:numRef>
                </c:val>
                <c:extLst>
                  <c:ext xmlns:c16="http://schemas.microsoft.com/office/drawing/2014/chart" uri="{C3380CC4-5D6E-409C-BE32-E72D297353CC}">
                    <c16:uniqueId val="{00000000-E570-4B45-9CFD-4F7BB3116D09}"/>
                  </c:ext>
                </c:extLst>
              </c15:ser>
            </c15:filteredBarSeries>
          </c:ext>
        </c:extLst>
      </c:barChart>
      <c:catAx>
        <c:axId val="831278512"/>
        <c:scaling>
          <c:orientation val="minMax"/>
        </c:scaling>
        <c:delete val="1"/>
        <c:axPos val="b"/>
        <c:numFmt formatCode="_-[$£-809]* #,##0.0_-;\-[$£-809]* #,##0.0_-;_-[$£-809]* &quot;-&quot;??_-;_-@_-" sourceLinked="1"/>
        <c:majorTickMark val="none"/>
        <c:minorTickMark val="none"/>
        <c:tickLblPos val="nextTo"/>
        <c:crossAx val="831269984"/>
        <c:crosses val="autoZero"/>
        <c:auto val="1"/>
        <c:lblAlgn val="ctr"/>
        <c:lblOffset val="100"/>
        <c:noMultiLvlLbl val="0"/>
      </c:catAx>
      <c:valAx>
        <c:axId val="831269984"/>
        <c:scaling>
          <c:orientation val="minMax"/>
          <c:max val="30"/>
          <c:min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latin typeface="Calibri" panose="020F0502020204030204" pitchFamily="34" charset="0"/>
                    <a:cs typeface="Calibri" panose="020F0502020204030204" pitchFamily="34" charset="0"/>
                  </a:rPr>
                  <a:t>£ Billion</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1278512"/>
        <c:crosses val="autoZero"/>
        <c:crossBetween val="between"/>
      </c:valAx>
      <c:spPr>
        <a:noFill/>
        <a:ln>
          <a:noFill/>
        </a:ln>
        <a:effectLst/>
      </c:spPr>
    </c:plotArea>
    <c:legend>
      <c:legendPos val="b"/>
      <c:layout>
        <c:manualLayout>
          <c:xMode val="edge"/>
          <c:yMode val="edge"/>
          <c:x val="1.5460005817335662E-2"/>
          <c:y val="0.82249137528109562"/>
          <c:w val="0.97225538103548559"/>
          <c:h val="0.1545788111161174"/>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AU" b="1">
                <a:solidFill>
                  <a:schemeClr val="tx1">
                    <a:lumMod val="75000"/>
                    <a:lumOff val="25000"/>
                  </a:schemeClr>
                </a:solidFill>
              </a:rPr>
              <a:t>UK Export of Services to EU &amp;</a:t>
            </a:r>
            <a:r>
              <a:rPr lang="en-AU" b="1" baseline="0">
                <a:solidFill>
                  <a:schemeClr val="tx1">
                    <a:lumMod val="75000"/>
                    <a:lumOff val="25000"/>
                  </a:schemeClr>
                </a:solidFill>
              </a:rPr>
              <a:t> non-EU countries (billions)</a:t>
            </a:r>
            <a:r>
              <a:rPr lang="en-AU" b="1">
                <a:solidFill>
                  <a:schemeClr val="tx1">
                    <a:lumMod val="75000"/>
                    <a:lumOff val="25000"/>
                  </a:schemeClr>
                </a:solidFill>
              </a:rPr>
              <a:t>:</a:t>
            </a:r>
            <a:r>
              <a:rPr lang="en-AU" b="1" baseline="0">
                <a:solidFill>
                  <a:schemeClr val="tx1">
                    <a:lumMod val="75000"/>
                    <a:lumOff val="25000"/>
                  </a:schemeClr>
                </a:solidFill>
              </a:rPr>
              <a:t> 2018</a:t>
            </a:r>
            <a:endParaRPr lang="en-AU" b="1">
              <a:solidFill>
                <a:schemeClr val="tx1">
                  <a:lumMod val="75000"/>
                  <a:lumOff val="25000"/>
                </a:schemeClr>
              </a:solidFill>
            </a:endParaRPr>
          </a:p>
        </c:rich>
      </c:tx>
      <c:layout>
        <c:manualLayout>
          <c:xMode val="edge"/>
          <c:yMode val="edge"/>
          <c:x val="0.31701932552461232"/>
          <c:y val="5.452612366820196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9.240443036384538E-2"/>
          <c:y val="0.15316605696950772"/>
          <c:w val="0.85947964673707122"/>
          <c:h val="0.47946665804351463"/>
        </c:manualLayout>
      </c:layout>
      <c:barChart>
        <c:barDir val="bar"/>
        <c:grouping val="stacked"/>
        <c:varyColors val="0"/>
        <c:ser>
          <c:idx val="0"/>
          <c:order val="0"/>
          <c:tx>
            <c:strRef>
              <c:f>'3. Trade in Services'!$A$13</c:f>
              <c:strCache>
                <c:ptCount val="1"/>
                <c:pt idx="0">
                  <c:v>Financial services</c:v>
                </c:pt>
              </c:strCache>
            </c:strRef>
          </c:tx>
          <c:spPr>
            <a:solidFill>
              <a:schemeClr val="accent1">
                <a:lumMod val="50000"/>
              </a:schemeClr>
            </a:solidFill>
            <a:ln w="12700">
              <a:solidFill>
                <a:srgbClr val="001C5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Services'!$B$12:$C$12</c:f>
              <c:strCache>
                <c:ptCount val="2"/>
                <c:pt idx="0">
                  <c:v> EU </c:v>
                </c:pt>
                <c:pt idx="1">
                  <c:v> Non-EU </c:v>
                </c:pt>
              </c:strCache>
            </c:strRef>
          </c:cat>
          <c:val>
            <c:numRef>
              <c:f>'3. Trade in Services'!$B$13:$C$13</c:f>
              <c:numCache>
                <c:formatCode>_-[$£-809]* #,##0.0_-;\-[$£-809]* #,##0.0_-;_-[$£-809]* "-"??_-;_-@_-</c:formatCode>
                <c:ptCount val="2"/>
                <c:pt idx="0">
                  <c:v>26.741</c:v>
                </c:pt>
                <c:pt idx="1">
                  <c:v>34.67</c:v>
                </c:pt>
              </c:numCache>
            </c:numRef>
          </c:val>
          <c:extLst>
            <c:ext xmlns:c16="http://schemas.microsoft.com/office/drawing/2014/chart" uri="{C3380CC4-5D6E-409C-BE32-E72D297353CC}">
              <c16:uniqueId val="{00000000-F89C-4AFB-8C39-9533A5AC8A4F}"/>
            </c:ext>
          </c:extLst>
        </c:ser>
        <c:ser>
          <c:idx val="1"/>
          <c:order val="1"/>
          <c:tx>
            <c:strRef>
              <c:f>'3. Trade in Services'!$A$14</c:f>
              <c:strCache>
                <c:ptCount val="1"/>
                <c:pt idx="0">
                  <c:v>General technical &amp; business services (engineering, architectural etc)</c:v>
                </c:pt>
              </c:strCache>
            </c:strRef>
          </c:tx>
          <c:spPr>
            <a:solidFill>
              <a:srgbClr val="C00000"/>
            </a:solidFill>
            <a:ln w="12700">
              <a:solidFill>
                <a:srgbClr val="6633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Services'!$B$12:$C$12</c:f>
              <c:strCache>
                <c:ptCount val="2"/>
                <c:pt idx="0">
                  <c:v> EU </c:v>
                </c:pt>
                <c:pt idx="1">
                  <c:v> Non-EU </c:v>
                </c:pt>
              </c:strCache>
            </c:strRef>
          </c:cat>
          <c:val>
            <c:numRef>
              <c:f>'3. Trade in Services'!$B$14:$C$14</c:f>
              <c:numCache>
                <c:formatCode>_-[$£-809]* #,##0.0_-;\-[$£-809]* #,##0.0_-;_-[$£-809]* "-"??_-;_-@_-</c:formatCode>
                <c:ptCount val="2"/>
                <c:pt idx="0">
                  <c:v>16.888000000000002</c:v>
                </c:pt>
                <c:pt idx="1">
                  <c:v>23.885000000000002</c:v>
                </c:pt>
              </c:numCache>
            </c:numRef>
          </c:val>
          <c:extLst>
            <c:ext xmlns:c16="http://schemas.microsoft.com/office/drawing/2014/chart" uri="{C3380CC4-5D6E-409C-BE32-E72D297353CC}">
              <c16:uniqueId val="{00000001-F89C-4AFB-8C39-9533A5AC8A4F}"/>
            </c:ext>
          </c:extLst>
        </c:ser>
        <c:ser>
          <c:idx val="2"/>
          <c:order val="2"/>
          <c:tx>
            <c:strRef>
              <c:f>'3. Trade in Services'!$A$15</c:f>
              <c:strCache>
                <c:ptCount val="1"/>
                <c:pt idx="0">
                  <c:v>Travel</c:v>
                </c:pt>
              </c:strCache>
            </c:strRef>
          </c:tx>
          <c:spPr>
            <a:solidFill>
              <a:schemeClr val="accent1">
                <a:lumMod val="75000"/>
              </a:schemeClr>
            </a:solidFill>
            <a:ln w="12700">
              <a:solidFill>
                <a:schemeClr val="tx1">
                  <a:lumMod val="75000"/>
                  <a:lumOff val="2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Services'!$B$12:$C$12</c:f>
              <c:strCache>
                <c:ptCount val="2"/>
                <c:pt idx="0">
                  <c:v> EU </c:v>
                </c:pt>
                <c:pt idx="1">
                  <c:v> Non-EU </c:v>
                </c:pt>
              </c:strCache>
            </c:strRef>
          </c:cat>
          <c:val>
            <c:numRef>
              <c:f>'3. Trade in Services'!$B$15:$C$15</c:f>
              <c:numCache>
                <c:formatCode>_-[$£-809]* #,##0.0_-;\-[$£-809]* #,##0.0_-;_-[$£-809]* "-"??_-;_-@_-</c:formatCode>
                <c:ptCount val="2"/>
                <c:pt idx="0">
                  <c:v>17.123000000000001</c:v>
                </c:pt>
                <c:pt idx="1">
                  <c:v>21.766999999999999</c:v>
                </c:pt>
              </c:numCache>
            </c:numRef>
          </c:val>
          <c:extLst>
            <c:ext xmlns:c16="http://schemas.microsoft.com/office/drawing/2014/chart" uri="{C3380CC4-5D6E-409C-BE32-E72D297353CC}">
              <c16:uniqueId val="{00000002-F89C-4AFB-8C39-9533A5AC8A4F}"/>
            </c:ext>
          </c:extLst>
        </c:ser>
        <c:ser>
          <c:idx val="3"/>
          <c:order val="3"/>
          <c:tx>
            <c:strRef>
              <c:f>'3. Trade in Services'!$A$16</c:f>
              <c:strCache>
                <c:ptCount val="1"/>
                <c:pt idx="0">
                  <c:v>Professional services (legal, accounting, management consultancy etc)</c:v>
                </c:pt>
              </c:strCache>
            </c:strRef>
          </c:tx>
          <c:spPr>
            <a:solidFill>
              <a:srgbClr val="F24848"/>
            </a:solidFill>
            <a:ln w="12700">
              <a:solidFill>
                <a:srgbClr val="990000"/>
              </a:solidFill>
            </a:ln>
            <a:effectLst/>
          </c:spPr>
          <c:invertIfNegative val="0"/>
          <c:dLbls>
            <c:dLbl>
              <c:idx val="0"/>
              <c:layout>
                <c:manualLayout>
                  <c:x val="-1.7288807348641597E-3"/>
                  <c:y val="-6.576833994758705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89C-4AFB-8C39-9533A5AC8A4F}"/>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Services'!$B$12:$C$12</c:f>
              <c:strCache>
                <c:ptCount val="2"/>
                <c:pt idx="0">
                  <c:v> EU </c:v>
                </c:pt>
                <c:pt idx="1">
                  <c:v> Non-EU </c:v>
                </c:pt>
              </c:strCache>
            </c:strRef>
          </c:cat>
          <c:val>
            <c:numRef>
              <c:f>'3. Trade in Services'!$B$16:$C$16</c:f>
              <c:numCache>
                <c:formatCode>_-[$£-809]* #,##0.0_-;\-[$£-809]* #,##0.0_-;_-[$£-809]* "-"??_-;_-@_-</c:formatCode>
                <c:ptCount val="2"/>
                <c:pt idx="0">
                  <c:v>12.955</c:v>
                </c:pt>
                <c:pt idx="1">
                  <c:v>19.652999999999999</c:v>
                </c:pt>
              </c:numCache>
            </c:numRef>
          </c:val>
          <c:extLst>
            <c:ext xmlns:c16="http://schemas.microsoft.com/office/drawing/2014/chart" uri="{C3380CC4-5D6E-409C-BE32-E72D297353CC}">
              <c16:uniqueId val="{00000003-F89C-4AFB-8C39-9533A5AC8A4F}"/>
            </c:ext>
          </c:extLst>
        </c:ser>
        <c:ser>
          <c:idx val="4"/>
          <c:order val="4"/>
          <c:tx>
            <c:strRef>
              <c:f>'3. Trade in Services'!$A$17</c:f>
              <c:strCache>
                <c:ptCount val="1"/>
                <c:pt idx="0">
                  <c:v>Transport (air &amp; sea)</c:v>
                </c:pt>
              </c:strCache>
            </c:strRef>
          </c:tx>
          <c:spPr>
            <a:solidFill>
              <a:schemeClr val="accent1">
                <a:lumMod val="60000"/>
                <a:lumOff val="40000"/>
              </a:schemeClr>
            </a:solidFill>
            <a:ln w="12700">
              <a:solidFill>
                <a:schemeClr val="accent5">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Services'!$B$12:$C$12</c:f>
              <c:strCache>
                <c:ptCount val="2"/>
                <c:pt idx="0">
                  <c:v> EU </c:v>
                </c:pt>
                <c:pt idx="1">
                  <c:v> Non-EU </c:v>
                </c:pt>
              </c:strCache>
            </c:strRef>
          </c:cat>
          <c:val>
            <c:numRef>
              <c:f>'3. Trade in Services'!$B$17:$C$17</c:f>
              <c:numCache>
                <c:formatCode>_-[$£-809]* #,##0.0_-;\-[$£-809]* #,##0.0_-;_-[$£-809]* "-"??_-;_-@_-</c:formatCode>
                <c:ptCount val="2"/>
                <c:pt idx="0">
                  <c:v>13.090999999999999</c:v>
                </c:pt>
                <c:pt idx="1">
                  <c:v>17.128</c:v>
                </c:pt>
              </c:numCache>
            </c:numRef>
          </c:val>
          <c:extLst>
            <c:ext xmlns:c16="http://schemas.microsoft.com/office/drawing/2014/chart" uri="{C3380CC4-5D6E-409C-BE32-E72D297353CC}">
              <c16:uniqueId val="{00000004-F89C-4AFB-8C39-9533A5AC8A4F}"/>
            </c:ext>
          </c:extLst>
        </c:ser>
        <c:ser>
          <c:idx val="5"/>
          <c:order val="5"/>
          <c:tx>
            <c:strRef>
              <c:f>'3. Trade in Services'!$A$18</c:f>
              <c:strCache>
                <c:ptCount val="1"/>
                <c:pt idx="0">
                  <c:v>Telecommunications &amp; IT services</c:v>
                </c:pt>
              </c:strCache>
            </c:strRef>
          </c:tx>
          <c:spPr>
            <a:solidFill>
              <a:srgbClr val="FF832F"/>
            </a:solidFill>
            <a:ln w="12700">
              <a:solidFill>
                <a:srgbClr val="0C5A06"/>
              </a:solid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89C-4AFB-8C39-9533A5AC8A4F}"/>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Services'!$B$12:$C$12</c:f>
              <c:strCache>
                <c:ptCount val="2"/>
                <c:pt idx="0">
                  <c:v> EU </c:v>
                </c:pt>
                <c:pt idx="1">
                  <c:v> Non-EU </c:v>
                </c:pt>
              </c:strCache>
            </c:strRef>
          </c:cat>
          <c:val>
            <c:numRef>
              <c:f>'3. Trade in Services'!$B$18:$C$18</c:f>
              <c:numCache>
                <c:formatCode>_-[$£-809]* #,##0.0_-;\-[$£-809]* #,##0.0_-;_-[$£-809]* "-"??_-;_-@_-</c:formatCode>
                <c:ptCount val="2"/>
                <c:pt idx="0">
                  <c:v>9.234</c:v>
                </c:pt>
                <c:pt idx="1">
                  <c:v>11.544</c:v>
                </c:pt>
              </c:numCache>
            </c:numRef>
          </c:val>
          <c:extLst>
            <c:ext xmlns:c16="http://schemas.microsoft.com/office/drawing/2014/chart" uri="{C3380CC4-5D6E-409C-BE32-E72D297353CC}">
              <c16:uniqueId val="{00000005-F89C-4AFB-8C39-9533A5AC8A4F}"/>
            </c:ext>
          </c:extLst>
        </c:ser>
        <c:ser>
          <c:idx val="6"/>
          <c:order val="6"/>
          <c:tx>
            <c:strRef>
              <c:f>'3. Trade in Services'!$A$19</c:f>
              <c:strCache>
                <c:ptCount val="1"/>
                <c:pt idx="0">
                  <c:v>Insurance &amp; Pension</c:v>
                </c:pt>
              </c:strCache>
            </c:strRef>
          </c:tx>
          <c:spPr>
            <a:solidFill>
              <a:srgbClr val="062B03"/>
            </a:solidFill>
            <a:ln>
              <a:solidFill>
                <a:schemeClr val="tx1">
                  <a:lumMod val="75000"/>
                  <a:lumOff val="2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Services'!$B$12:$C$12</c:f>
              <c:strCache>
                <c:ptCount val="2"/>
                <c:pt idx="0">
                  <c:v> EU </c:v>
                </c:pt>
                <c:pt idx="1">
                  <c:v> Non-EU </c:v>
                </c:pt>
              </c:strCache>
            </c:strRef>
          </c:cat>
          <c:val>
            <c:numRef>
              <c:f>'3. Trade in Services'!$B$19:$C$19</c:f>
              <c:numCache>
                <c:formatCode>_-[$£-809]* #,##0.0_-;\-[$£-809]* #,##0.0_-;_-[$£-809]* "-"??_-;_-@_-</c:formatCode>
                <c:ptCount val="2"/>
                <c:pt idx="0">
                  <c:v>6.3040000000000003</c:v>
                </c:pt>
                <c:pt idx="1">
                  <c:v>13.308999999999999</c:v>
                </c:pt>
              </c:numCache>
            </c:numRef>
          </c:val>
          <c:extLst>
            <c:ext xmlns:c16="http://schemas.microsoft.com/office/drawing/2014/chart" uri="{C3380CC4-5D6E-409C-BE32-E72D297353CC}">
              <c16:uniqueId val="{00000006-F89C-4AFB-8C39-9533A5AC8A4F}"/>
            </c:ext>
          </c:extLst>
        </c:ser>
        <c:ser>
          <c:idx val="7"/>
          <c:order val="7"/>
          <c:tx>
            <c:strRef>
              <c:f>'3. Trade in Services'!$A$20</c:f>
              <c:strCache>
                <c:ptCount val="1"/>
                <c:pt idx="0">
                  <c:v>Intellectual property</c:v>
                </c:pt>
              </c:strCache>
            </c:strRef>
          </c:tx>
          <c:spPr>
            <a:solidFill>
              <a:schemeClr val="accent1">
                <a:lumMod val="20000"/>
                <a:lumOff val="80000"/>
              </a:schemeClr>
            </a:solidFill>
            <a:ln w="12700">
              <a:solidFill>
                <a:srgbClr val="001C54"/>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07DB-4C50-A404-627CEB04DCB6}"/>
                </c:ext>
              </c:extLst>
            </c:dLbl>
            <c:dLbl>
              <c:idx val="1"/>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85000"/>
                          <a:lumOff val="15000"/>
                        </a:schemeClr>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3-1594-4F79-9838-C3263DE250C2}"/>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Services'!$B$12:$C$12</c:f>
              <c:strCache>
                <c:ptCount val="2"/>
                <c:pt idx="0">
                  <c:v> EU </c:v>
                </c:pt>
                <c:pt idx="1">
                  <c:v> Non-EU </c:v>
                </c:pt>
              </c:strCache>
            </c:strRef>
          </c:cat>
          <c:val>
            <c:numRef>
              <c:f>'3. Trade in Services'!$B$20:$C$20</c:f>
              <c:numCache>
                <c:formatCode>_-[$£-809]* #,##0.0_-;\-[$£-809]* #,##0.0_-;_-[$£-809]* "-"??_-;_-@_-</c:formatCode>
                <c:ptCount val="2"/>
                <c:pt idx="0">
                  <c:v>6.0250000000000004</c:v>
                </c:pt>
                <c:pt idx="1">
                  <c:v>11.048999999999999</c:v>
                </c:pt>
              </c:numCache>
            </c:numRef>
          </c:val>
          <c:extLst>
            <c:ext xmlns:c16="http://schemas.microsoft.com/office/drawing/2014/chart" uri="{C3380CC4-5D6E-409C-BE32-E72D297353CC}">
              <c16:uniqueId val="{00000007-F89C-4AFB-8C39-9533A5AC8A4F}"/>
            </c:ext>
          </c:extLst>
        </c:ser>
        <c:ser>
          <c:idx val="9"/>
          <c:order val="8"/>
          <c:tx>
            <c:strRef>
              <c:f>'3. Trade in Services'!$A$21</c:f>
              <c:strCache>
                <c:ptCount val="1"/>
                <c:pt idx="0">
                  <c:v>The rest</c:v>
                </c:pt>
              </c:strCache>
            </c:strRef>
          </c:tx>
          <c:spPr>
            <a:solidFill>
              <a:schemeClr val="accent6">
                <a:lumMod val="50000"/>
              </a:schemeClr>
            </a:solidFill>
            <a:ln w="12700">
              <a:solidFill>
                <a:srgbClr val="6633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Services'!$B$12:$C$12</c:f>
              <c:strCache>
                <c:ptCount val="2"/>
                <c:pt idx="0">
                  <c:v> EU </c:v>
                </c:pt>
                <c:pt idx="1">
                  <c:v> Non-EU </c:v>
                </c:pt>
              </c:strCache>
            </c:strRef>
          </c:cat>
          <c:val>
            <c:numRef>
              <c:f>'3. Trade in Services'!$B$21:$C$21</c:f>
              <c:numCache>
                <c:formatCode>_-[$£-809]* #,##0.0_-;\-[$£-809]* #,##0.0_-;_-[$£-809]* "-"??_-;_-@_-</c:formatCode>
                <c:ptCount val="2"/>
                <c:pt idx="0">
                  <c:v>8.3460000000000001</c:v>
                </c:pt>
                <c:pt idx="1">
                  <c:v>13.699</c:v>
                </c:pt>
              </c:numCache>
            </c:numRef>
          </c:val>
          <c:extLst>
            <c:ext xmlns:c16="http://schemas.microsoft.com/office/drawing/2014/chart" uri="{C3380CC4-5D6E-409C-BE32-E72D297353CC}">
              <c16:uniqueId val="{00000009-F89C-4AFB-8C39-9533A5AC8A4F}"/>
            </c:ext>
          </c:extLst>
        </c:ser>
        <c:dLbls>
          <c:dLblPos val="ctr"/>
          <c:showLegendKey val="0"/>
          <c:showVal val="1"/>
          <c:showCatName val="0"/>
          <c:showSerName val="0"/>
          <c:showPercent val="0"/>
          <c:showBubbleSize val="0"/>
        </c:dLbls>
        <c:gapWidth val="56"/>
        <c:overlap val="100"/>
        <c:axId val="592131296"/>
        <c:axId val="592132608"/>
      </c:barChart>
      <c:catAx>
        <c:axId val="592131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592132608"/>
        <c:crosses val="autoZero"/>
        <c:auto val="1"/>
        <c:lblAlgn val="ctr"/>
        <c:lblOffset val="100"/>
        <c:noMultiLvlLbl val="0"/>
      </c:catAx>
      <c:valAx>
        <c:axId val="592132608"/>
        <c:scaling>
          <c:orientation val="minMax"/>
          <c:max val="18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 billion</a:t>
                </a:r>
              </a:p>
            </c:rich>
          </c:tx>
          <c:layout>
            <c:manualLayout>
              <c:xMode val="edge"/>
              <c:yMode val="edge"/>
              <c:x val="0.48300540960763422"/>
              <c:y val="0.7190122348375008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92131296"/>
        <c:crosses val="autoZero"/>
        <c:crossBetween val="between"/>
      </c:valAx>
      <c:spPr>
        <a:noFill/>
        <a:ln>
          <a:noFill/>
        </a:ln>
        <a:effectLst/>
      </c:spPr>
    </c:plotArea>
    <c:legend>
      <c:legendPos val="b"/>
      <c:layout>
        <c:manualLayout>
          <c:xMode val="edge"/>
          <c:yMode val="edge"/>
          <c:x val="2.9049836601307187E-2"/>
          <c:y val="0.78605685652929747"/>
          <c:w val="0.95091560137106312"/>
          <c:h val="0.21394299766103536"/>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effectLst/>
                <a:latin typeface="+mn-lt"/>
                <a:ea typeface="+mn-ea"/>
                <a:cs typeface="+mn-cs"/>
              </a:defRPr>
            </a:pPr>
            <a:r>
              <a:rPr lang="en-AU" sz="1400" b="1" i="0" u="none" strike="noStrike" kern="1200" spc="0" baseline="0">
                <a:solidFill>
                  <a:sysClr val="windowText" lastClr="000000">
                    <a:lumMod val="65000"/>
                    <a:lumOff val="35000"/>
                  </a:sysClr>
                </a:solidFill>
                <a:effectLst/>
                <a:latin typeface="+mn-lt"/>
                <a:ea typeface="+mn-ea"/>
                <a:cs typeface="+mn-cs"/>
              </a:rPr>
              <a:t>Export of services to EU and non-EU countries: 1999 - 2018</a:t>
            </a:r>
          </a:p>
        </c:rich>
      </c:tx>
      <c:overlay val="0"/>
      <c:spPr>
        <a:noFill/>
        <a:ln>
          <a:noFill/>
        </a:ln>
        <a:effectLst/>
      </c:spPr>
      <c:txPr>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effectLst/>
              <a:latin typeface="+mn-lt"/>
              <a:ea typeface="+mn-ea"/>
              <a:cs typeface="+mn-cs"/>
            </a:defRPr>
          </a:pPr>
          <a:endParaRPr lang="en-US"/>
        </a:p>
      </c:txPr>
    </c:title>
    <c:autoTitleDeleted val="0"/>
    <c:plotArea>
      <c:layout/>
      <c:barChart>
        <c:barDir val="col"/>
        <c:grouping val="clustered"/>
        <c:varyColors val="0"/>
        <c:ser>
          <c:idx val="0"/>
          <c:order val="0"/>
          <c:tx>
            <c:strRef>
              <c:f>'3. Trade in Services'!$A$139</c:f>
              <c:strCache>
                <c:ptCount val="1"/>
                <c:pt idx="0">
                  <c:v>Services exports to EU (£ billion)</c:v>
                </c:pt>
              </c:strCache>
            </c:strRef>
          </c:tx>
          <c:spPr>
            <a:solidFill>
              <a:srgbClr val="C00000"/>
            </a:solidFill>
            <a:ln>
              <a:solidFill>
                <a:srgbClr val="990000"/>
              </a:solidFill>
            </a:ln>
            <a:effectLst/>
          </c:spPr>
          <c:invertIfNegative val="0"/>
          <c:cat>
            <c:numRef>
              <c:f>'3. Trade in Services'!$B$138:$T$138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'3. Trade in Services'!$B$139:$T$139</c:f>
              <c:numCache>
                <c:formatCode>0.00</c:formatCode>
                <c:ptCount val="19"/>
                <c:pt idx="0">
                  <c:v>41.7654986522911</c:v>
                </c:pt>
                <c:pt idx="1">
                  <c:v>44.389473684210522</c:v>
                </c:pt>
                <c:pt idx="2">
                  <c:v>48.603921568627456</c:v>
                </c:pt>
                <c:pt idx="3">
                  <c:v>50.888594164456229</c:v>
                </c:pt>
                <c:pt idx="4">
                  <c:v>56.381201044386437</c:v>
                </c:pt>
                <c:pt idx="5">
                  <c:v>61.660526315789475</c:v>
                </c:pt>
                <c:pt idx="6">
                  <c:v>69.909669211195933</c:v>
                </c:pt>
                <c:pt idx="7">
                  <c:v>74.885143570536826</c:v>
                </c:pt>
                <c:pt idx="8">
                  <c:v>83.679292929292927</c:v>
                </c:pt>
                <c:pt idx="9">
                  <c:v>80.49712313003451</c:v>
                </c:pt>
                <c:pt idx="10">
                  <c:v>78.159645232815961</c:v>
                </c:pt>
                <c:pt idx="11">
                  <c:v>77.950474183350877</c:v>
                </c:pt>
                <c:pt idx="12">
                  <c:v>80.67735470941885</c:v>
                </c:pt>
                <c:pt idx="13">
                  <c:v>83.500503524672709</c:v>
                </c:pt>
                <c:pt idx="14">
                  <c:v>79.751724137931035</c:v>
                </c:pt>
                <c:pt idx="15">
                  <c:v>91.899594320486813</c:v>
                </c:pt>
                <c:pt idx="16">
                  <c:v>96.975609756097555</c:v>
                </c:pt>
                <c:pt idx="17">
                  <c:v>97.74</c:v>
                </c:pt>
                <c:pt idx="18" formatCode="General">
                  <c:v>108.23099999999999</c:v>
                </c:pt>
              </c:numCache>
            </c:numRef>
          </c:val>
          <c:extLst>
            <c:ext xmlns:c16="http://schemas.microsoft.com/office/drawing/2014/chart" uri="{C3380CC4-5D6E-409C-BE32-E72D297353CC}">
              <c16:uniqueId val="{00000000-4704-4915-99A8-5C12EC3FD6AD}"/>
            </c:ext>
          </c:extLst>
        </c:ser>
        <c:ser>
          <c:idx val="1"/>
          <c:order val="1"/>
          <c:tx>
            <c:strRef>
              <c:f>'3. Trade in Services'!$A$140</c:f>
              <c:strCache>
                <c:ptCount val="1"/>
                <c:pt idx="0">
                  <c:v>Services exports to non-EU (£ billion)</c:v>
                </c:pt>
              </c:strCache>
            </c:strRef>
          </c:tx>
          <c:spPr>
            <a:solidFill>
              <a:srgbClr val="002060"/>
            </a:solidFill>
            <a:ln>
              <a:noFill/>
            </a:ln>
            <a:effectLst/>
          </c:spPr>
          <c:invertIfNegative val="0"/>
          <c:cat>
            <c:numRef>
              <c:f>'3. Trade in Services'!$B$138:$T$138</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'3. Trade in Services'!$B$140:$T$140</c:f>
              <c:numCache>
                <c:formatCode>0.000</c:formatCode>
                <c:ptCount val="19"/>
                <c:pt idx="0">
                  <c:v>61.314016172506733</c:v>
                </c:pt>
                <c:pt idx="1">
                  <c:v>64.046052631578945</c:v>
                </c:pt>
                <c:pt idx="2">
                  <c:v>67.760784313725495</c:v>
                </c:pt>
                <c:pt idx="3">
                  <c:v>73.372679045092838</c:v>
                </c:pt>
                <c:pt idx="4">
                  <c:v>81.031331592689313</c:v>
                </c:pt>
                <c:pt idx="5">
                  <c:v>90.548684210526304</c:v>
                </c:pt>
                <c:pt idx="6">
                  <c:v>95.835877862595424</c:v>
                </c:pt>
                <c:pt idx="7">
                  <c:v>108.57677902621724</c:v>
                </c:pt>
                <c:pt idx="8">
                  <c:v>119.36489898989899</c:v>
                </c:pt>
                <c:pt idx="9">
                  <c:v>115.31185270425776</c:v>
                </c:pt>
                <c:pt idx="10">
                  <c:v>115.47117516629712</c:v>
                </c:pt>
                <c:pt idx="11">
                  <c:v>111.77555321390938</c:v>
                </c:pt>
                <c:pt idx="12">
                  <c:v>116.5691382765531</c:v>
                </c:pt>
                <c:pt idx="13">
                  <c:v>123.30110775427997</c:v>
                </c:pt>
                <c:pt idx="14">
                  <c:v>140.08669950738917</c:v>
                </c:pt>
                <c:pt idx="15">
                  <c:v>138.50202839756591</c:v>
                </c:pt>
                <c:pt idx="16">
                  <c:v>149.95758218451749</c:v>
                </c:pt>
                <c:pt idx="17">
                  <c:v>160.148</c:v>
                </c:pt>
                <c:pt idx="18">
                  <c:v>156.1304761904762</c:v>
                </c:pt>
              </c:numCache>
            </c:numRef>
          </c:val>
          <c:extLst>
            <c:ext xmlns:c16="http://schemas.microsoft.com/office/drawing/2014/chart" uri="{C3380CC4-5D6E-409C-BE32-E72D297353CC}">
              <c16:uniqueId val="{00000001-4704-4915-99A8-5C12EC3FD6AD}"/>
            </c:ext>
          </c:extLst>
        </c:ser>
        <c:dLbls>
          <c:showLegendKey val="0"/>
          <c:showVal val="0"/>
          <c:showCatName val="0"/>
          <c:showSerName val="0"/>
          <c:showPercent val="0"/>
          <c:showBubbleSize val="0"/>
        </c:dLbls>
        <c:gapWidth val="219"/>
        <c:overlap val="-27"/>
        <c:axId val="549394160"/>
        <c:axId val="549390552"/>
      </c:barChart>
      <c:catAx>
        <c:axId val="54939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549390552"/>
        <c:crosses val="autoZero"/>
        <c:auto val="1"/>
        <c:lblAlgn val="ctr"/>
        <c:lblOffset val="100"/>
        <c:noMultiLvlLbl val="0"/>
      </c:catAx>
      <c:valAx>
        <c:axId val="549390552"/>
        <c:scaling>
          <c:orientation val="minMax"/>
          <c:max val="1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latin typeface="Calibri" panose="020F0502020204030204" pitchFamily="34" charset="0"/>
                    <a:cs typeface="Calibri" panose="020F0502020204030204" pitchFamily="34" charset="0"/>
                  </a:rPr>
                  <a:t>£ billion</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394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r>
              <a:rPr lang="en-AU" sz="1260" b="1" i="0" u="none" strike="noStrike" kern="1200" spc="0" baseline="0">
                <a:solidFill>
                  <a:sysClr val="windowText" lastClr="000000">
                    <a:lumMod val="65000"/>
                    <a:lumOff val="35000"/>
                  </a:sysClr>
                </a:solidFill>
                <a:latin typeface="+mn-lt"/>
                <a:ea typeface="+mn-ea"/>
                <a:cs typeface="+mn-cs"/>
              </a:rPr>
              <a:t>Change in EU's share of UK trade in services</a:t>
            </a:r>
          </a:p>
        </c:rich>
      </c:tx>
      <c:overlay val="0"/>
      <c:spPr>
        <a:noFill/>
        <a:ln>
          <a:noFill/>
        </a:ln>
        <a:effectLst/>
      </c:spPr>
      <c:txPr>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'3. Trade in Services'!$A$110</c:f>
              <c:strCache>
                <c:ptCount val="1"/>
                <c:pt idx="0">
                  <c:v>Destination for exports</c:v>
                </c:pt>
              </c:strCache>
            </c:strRef>
          </c:tx>
          <c:spPr>
            <a:solidFill>
              <a:srgbClr val="C00000"/>
            </a:solidFill>
            <a:ln w="9525">
              <a:solidFill>
                <a:srgbClr val="000E2A"/>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 Trade in Services'!$B$109:$C$109</c:f>
              <c:numCache>
                <c:formatCode>General</c:formatCode>
                <c:ptCount val="2"/>
                <c:pt idx="0">
                  <c:v>1999</c:v>
                </c:pt>
                <c:pt idx="1">
                  <c:v>2018</c:v>
                </c:pt>
              </c:numCache>
            </c:numRef>
          </c:cat>
          <c:val>
            <c:numRef>
              <c:f>'3. Trade in Services'!$B$110:$C$110</c:f>
              <c:numCache>
                <c:formatCode>0%</c:formatCode>
                <c:ptCount val="2"/>
                <c:pt idx="0">
                  <c:v>0.41100096949782206</c:v>
                </c:pt>
                <c:pt idx="1">
                  <c:v>0.40110891767067786</c:v>
                </c:pt>
              </c:numCache>
            </c:numRef>
          </c:val>
          <c:extLst>
            <c:ext xmlns:c16="http://schemas.microsoft.com/office/drawing/2014/chart" uri="{C3380CC4-5D6E-409C-BE32-E72D297353CC}">
              <c16:uniqueId val="{00000000-10FD-487B-B3F0-EA2937C69FDB}"/>
            </c:ext>
          </c:extLst>
        </c:ser>
        <c:ser>
          <c:idx val="1"/>
          <c:order val="1"/>
          <c:tx>
            <c:strRef>
              <c:f>'3. Trade in Services'!$A$111</c:f>
              <c:strCache>
                <c:ptCount val="1"/>
                <c:pt idx="0">
                  <c:v>Source of imports</c:v>
                </c:pt>
              </c:strCache>
            </c:strRef>
          </c:tx>
          <c:spPr>
            <a:solidFill>
              <a:srgbClr val="001C54"/>
            </a:solidFill>
            <a:ln w="12700">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 Trade in Services'!$B$109:$C$109</c:f>
              <c:numCache>
                <c:formatCode>General</c:formatCode>
                <c:ptCount val="2"/>
                <c:pt idx="0">
                  <c:v>1999</c:v>
                </c:pt>
                <c:pt idx="1">
                  <c:v>2018</c:v>
                </c:pt>
              </c:numCache>
            </c:numRef>
          </c:cat>
          <c:val>
            <c:numRef>
              <c:f>'3. Trade in Services'!$B$111:$C$111</c:f>
              <c:numCache>
                <c:formatCode>0%</c:formatCode>
                <c:ptCount val="2"/>
                <c:pt idx="0">
                  <c:v>0.5569178770217843</c:v>
                </c:pt>
                <c:pt idx="1">
                  <c:v>0.49555209182098048</c:v>
                </c:pt>
              </c:numCache>
            </c:numRef>
          </c:val>
          <c:extLst>
            <c:ext xmlns:c16="http://schemas.microsoft.com/office/drawing/2014/chart" uri="{C3380CC4-5D6E-409C-BE32-E72D297353CC}">
              <c16:uniqueId val="{00000001-10FD-487B-B3F0-EA2937C69FDB}"/>
            </c:ext>
          </c:extLst>
        </c:ser>
        <c:dLbls>
          <c:dLblPos val="inEnd"/>
          <c:showLegendKey val="0"/>
          <c:showVal val="1"/>
          <c:showCatName val="0"/>
          <c:showSerName val="0"/>
          <c:showPercent val="0"/>
          <c:showBubbleSize val="0"/>
        </c:dLbls>
        <c:gapWidth val="219"/>
        <c:overlap val="-27"/>
        <c:axId val="696444328"/>
        <c:axId val="696444656"/>
      </c:barChart>
      <c:catAx>
        <c:axId val="696444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6444656"/>
        <c:crosses val="autoZero"/>
        <c:auto val="1"/>
        <c:lblAlgn val="ctr"/>
        <c:lblOffset val="100"/>
        <c:noMultiLvlLbl val="0"/>
      </c:catAx>
      <c:valAx>
        <c:axId val="696444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6444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1" i="0" baseline="0">
                <a:effectLst/>
              </a:rPr>
              <a:t>UK – EU trade in services: 1999 – 2018</a:t>
            </a:r>
          </a:p>
          <a:p>
            <a:pPr>
              <a:defRPr/>
            </a:pPr>
            <a:r>
              <a:rPr lang="en-AU" sz="1200" b="1" i="0" baseline="0">
                <a:effectLst/>
              </a:rPr>
              <a:t>2016 prices</a:t>
            </a:r>
            <a:endParaRPr lang="en-AU" sz="12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6992833822999832E-2"/>
          <c:y val="0.18115948920061212"/>
          <c:w val="0.90733020714346391"/>
          <c:h val="0.68308329836939341"/>
        </c:manualLayout>
      </c:layout>
      <c:barChart>
        <c:barDir val="col"/>
        <c:grouping val="clustered"/>
        <c:varyColors val="0"/>
        <c:ser>
          <c:idx val="0"/>
          <c:order val="0"/>
          <c:tx>
            <c:strRef>
              <c:f>'3. Trade in Services'!$A$161</c:f>
              <c:strCache>
                <c:ptCount val="1"/>
                <c:pt idx="0">
                  <c:v>Services exports to EU (£ billion)</c:v>
                </c:pt>
              </c:strCache>
            </c:strRef>
          </c:tx>
          <c:spPr>
            <a:solidFill>
              <a:srgbClr val="C00000"/>
            </a:solidFill>
            <a:ln>
              <a:solidFill>
                <a:srgbClr val="990000"/>
              </a:solidFill>
            </a:ln>
            <a:effectLst/>
          </c:spPr>
          <c:invertIfNegative val="0"/>
          <c:cat>
            <c:numRef>
              <c:f>'3. Trade in Services'!$B$160:$U$160</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'3. Trade in Services'!$B$161:$U$161</c:f>
              <c:numCache>
                <c:formatCode>0.00</c:formatCode>
                <c:ptCount val="20"/>
                <c:pt idx="0">
                  <c:v>41.7654986522911</c:v>
                </c:pt>
                <c:pt idx="1">
                  <c:v>44.389473684210522</c:v>
                </c:pt>
                <c:pt idx="2">
                  <c:v>48.603921568627456</c:v>
                </c:pt>
                <c:pt idx="3">
                  <c:v>50.888594164456229</c:v>
                </c:pt>
                <c:pt idx="4">
                  <c:v>56.381201044386437</c:v>
                </c:pt>
                <c:pt idx="5">
                  <c:v>61.660526315789475</c:v>
                </c:pt>
                <c:pt idx="6">
                  <c:v>69.909669211195933</c:v>
                </c:pt>
                <c:pt idx="7">
                  <c:v>74.885143570536826</c:v>
                </c:pt>
                <c:pt idx="8">
                  <c:v>83.679292929292927</c:v>
                </c:pt>
                <c:pt idx="9">
                  <c:v>80.49712313003451</c:v>
                </c:pt>
                <c:pt idx="10">
                  <c:v>78.159645232815961</c:v>
                </c:pt>
                <c:pt idx="11">
                  <c:v>77.950474183350877</c:v>
                </c:pt>
                <c:pt idx="12">
                  <c:v>80.67735470941885</c:v>
                </c:pt>
                <c:pt idx="13">
                  <c:v>83.500503524672709</c:v>
                </c:pt>
                <c:pt idx="14">
                  <c:v>79.751724137931035</c:v>
                </c:pt>
                <c:pt idx="15">
                  <c:v>91.899594320486813</c:v>
                </c:pt>
                <c:pt idx="16">
                  <c:v>96.975609756097555</c:v>
                </c:pt>
                <c:pt idx="17">
                  <c:v>97.74</c:v>
                </c:pt>
                <c:pt idx="18">
                  <c:v>109.39333333333333</c:v>
                </c:pt>
                <c:pt idx="19">
                  <c:v>108.36304549675023</c:v>
                </c:pt>
              </c:numCache>
            </c:numRef>
          </c:val>
          <c:extLst>
            <c:ext xmlns:c16="http://schemas.microsoft.com/office/drawing/2014/chart" uri="{C3380CC4-5D6E-409C-BE32-E72D297353CC}">
              <c16:uniqueId val="{00000000-6996-43A9-B2F7-72D8D63B7683}"/>
            </c:ext>
          </c:extLst>
        </c:ser>
        <c:ser>
          <c:idx val="1"/>
          <c:order val="1"/>
          <c:tx>
            <c:strRef>
              <c:f>'3. Trade in Services'!$A$162</c:f>
              <c:strCache>
                <c:ptCount val="1"/>
                <c:pt idx="0">
                  <c:v>Services imports from EU (£ billion)</c:v>
                </c:pt>
              </c:strCache>
            </c:strRef>
          </c:tx>
          <c:spPr>
            <a:solidFill>
              <a:srgbClr val="001C54"/>
            </a:solidFill>
            <a:ln>
              <a:noFill/>
            </a:ln>
            <a:effectLst/>
          </c:spPr>
          <c:invertIfNegative val="0"/>
          <c:cat>
            <c:numRef>
              <c:f>'3. Trade in Services'!$B$160:$U$160</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'3. Trade in Services'!$B$162:$U$162</c:f>
              <c:numCache>
                <c:formatCode>0.00</c:formatCode>
                <c:ptCount val="20"/>
                <c:pt idx="0">
                  <c:v>43.920854271356788</c:v>
                </c:pt>
                <c:pt idx="1">
                  <c:v>46.514075887392899</c:v>
                </c:pt>
                <c:pt idx="2">
                  <c:v>50.017156862745104</c:v>
                </c:pt>
                <c:pt idx="3">
                  <c:v>55.124842370744012</c:v>
                </c:pt>
                <c:pt idx="4">
                  <c:v>60.280856423173802</c:v>
                </c:pt>
                <c:pt idx="5">
                  <c:v>62.954022988505756</c:v>
                </c:pt>
                <c:pt idx="6">
                  <c:v>65.670370370370364</c:v>
                </c:pt>
                <c:pt idx="7">
                  <c:v>67.793020457280392</c:v>
                </c:pt>
                <c:pt idx="8">
                  <c:v>68.051435406698559</c:v>
                </c:pt>
                <c:pt idx="9">
                  <c:v>64.933972310969111</c:v>
                </c:pt>
                <c:pt idx="10">
                  <c:v>62.03966597077244</c:v>
                </c:pt>
                <c:pt idx="11">
                  <c:v>59.161290322580648</c:v>
                </c:pt>
                <c:pt idx="12">
                  <c:v>56.263901979264844</c:v>
                </c:pt>
                <c:pt idx="13">
                  <c:v>59.4681861348528</c:v>
                </c:pt>
                <c:pt idx="14">
                  <c:v>61.632173095014117</c:v>
                </c:pt>
                <c:pt idx="15">
                  <c:v>65.322865554465153</c:v>
                </c:pt>
                <c:pt idx="16">
                  <c:v>71.507291666666674</c:v>
                </c:pt>
                <c:pt idx="17">
                  <c:v>77.992999999999995</c:v>
                </c:pt>
                <c:pt idx="18">
                  <c:v>77.331119544592028</c:v>
                </c:pt>
                <c:pt idx="19">
                  <c:v>80.389502762430951</c:v>
                </c:pt>
              </c:numCache>
            </c:numRef>
          </c:val>
          <c:extLst>
            <c:ext xmlns:c16="http://schemas.microsoft.com/office/drawing/2014/chart" uri="{C3380CC4-5D6E-409C-BE32-E72D297353CC}">
              <c16:uniqueId val="{00000001-6996-43A9-B2F7-72D8D63B7683}"/>
            </c:ext>
          </c:extLst>
        </c:ser>
        <c:ser>
          <c:idx val="2"/>
          <c:order val="2"/>
          <c:tx>
            <c:strRef>
              <c:f>'3. Trade in Services'!$A$163</c:f>
              <c:strCache>
                <c:ptCount val="1"/>
                <c:pt idx="0">
                  <c:v>Balance</c:v>
                </c:pt>
              </c:strCache>
            </c:strRef>
          </c:tx>
          <c:spPr>
            <a:solidFill>
              <a:schemeClr val="accent3"/>
            </a:solidFill>
            <a:ln>
              <a:solidFill>
                <a:sysClr val="windowText" lastClr="000000"/>
              </a:solidFill>
            </a:ln>
            <a:effectLst/>
          </c:spPr>
          <c:invertIfNegative val="0"/>
          <c:cat>
            <c:numRef>
              <c:f>'3. Trade in Services'!$B$160:$U$160</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'3. Trade in Services'!$B$163:$U$163</c:f>
              <c:numCache>
                <c:formatCode>0.00</c:formatCode>
                <c:ptCount val="20"/>
                <c:pt idx="0">
                  <c:v>-2.1553556190656877</c:v>
                </c:pt>
                <c:pt idx="1">
                  <c:v>-2.124602203182377</c:v>
                </c:pt>
                <c:pt idx="2">
                  <c:v>-1.4132352941176478</c:v>
                </c:pt>
                <c:pt idx="3">
                  <c:v>-4.2362482062877831</c:v>
                </c:pt>
                <c:pt idx="4">
                  <c:v>-3.8996553787873651</c:v>
                </c:pt>
                <c:pt idx="5">
                  <c:v>-1.2934966727162802</c:v>
                </c:pt>
                <c:pt idx="6">
                  <c:v>4.239298840825569</c:v>
                </c:pt>
                <c:pt idx="7">
                  <c:v>7.0921231132564344</c:v>
                </c:pt>
                <c:pt idx="8">
                  <c:v>15.627857522594368</c:v>
                </c:pt>
                <c:pt idx="9">
                  <c:v>15.563150819065399</c:v>
                </c:pt>
                <c:pt idx="10">
                  <c:v>16.119979262043522</c:v>
                </c:pt>
                <c:pt idx="11">
                  <c:v>18.78918386077023</c:v>
                </c:pt>
                <c:pt idx="12">
                  <c:v>24.413452730154006</c:v>
                </c:pt>
                <c:pt idx="13">
                  <c:v>24.032317389819909</c:v>
                </c:pt>
                <c:pt idx="14">
                  <c:v>18.119551042916918</c:v>
                </c:pt>
                <c:pt idx="15">
                  <c:v>26.57672876602166</c:v>
                </c:pt>
                <c:pt idx="16">
                  <c:v>25.46831808943088</c:v>
                </c:pt>
                <c:pt idx="17">
                  <c:v>19.747</c:v>
                </c:pt>
                <c:pt idx="18">
                  <c:v>32.062213788741303</c:v>
                </c:pt>
                <c:pt idx="19">
                  <c:v>27.973542734319281</c:v>
                </c:pt>
              </c:numCache>
            </c:numRef>
          </c:val>
          <c:extLst>
            <c:ext xmlns:c16="http://schemas.microsoft.com/office/drawing/2014/chart" uri="{C3380CC4-5D6E-409C-BE32-E72D297353CC}">
              <c16:uniqueId val="{00000002-6996-43A9-B2F7-72D8D63B7683}"/>
            </c:ext>
          </c:extLst>
        </c:ser>
        <c:dLbls>
          <c:showLegendKey val="0"/>
          <c:showVal val="0"/>
          <c:showCatName val="0"/>
          <c:showSerName val="0"/>
          <c:showPercent val="0"/>
          <c:showBubbleSize val="0"/>
        </c:dLbls>
        <c:gapWidth val="219"/>
        <c:overlap val="-27"/>
        <c:axId val="677211624"/>
        <c:axId val="677209656"/>
      </c:barChart>
      <c:catAx>
        <c:axId val="677211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77209656"/>
        <c:crosses val="autoZero"/>
        <c:auto val="1"/>
        <c:lblAlgn val="ctr"/>
        <c:lblOffset val="100"/>
        <c:noMultiLvlLbl val="0"/>
      </c:catAx>
      <c:valAx>
        <c:axId val="677209656"/>
        <c:scaling>
          <c:orientation val="minMax"/>
          <c:max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AU" sz="1050" b="1">
                    <a:latin typeface="Calibri" panose="020F0502020204030204" pitchFamily="34" charset="0"/>
                    <a:cs typeface="Calibri" panose="020F0502020204030204" pitchFamily="34" charset="0"/>
                  </a:rPr>
                  <a:t>£ billion</a:t>
                </a:r>
                <a:endParaRPr lang="en-AU" sz="1050" b="1"/>
              </a:p>
            </c:rich>
          </c:tx>
          <c:layout>
            <c:manualLayout>
              <c:xMode val="edge"/>
              <c:yMode val="edge"/>
              <c:x val="1.2826602845620557E-2"/>
              <c:y val="0.35711299673361363"/>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77211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US" b="1">
                <a:solidFill>
                  <a:schemeClr val="tx1">
                    <a:lumMod val="85000"/>
                    <a:lumOff val="15000"/>
                  </a:schemeClr>
                </a:solidFill>
              </a:rPr>
              <a:t>UK Export of</a:t>
            </a:r>
            <a:r>
              <a:rPr lang="en-US" b="1" baseline="0">
                <a:solidFill>
                  <a:schemeClr val="tx1">
                    <a:lumMod val="85000"/>
                    <a:lumOff val="15000"/>
                  </a:schemeClr>
                </a:solidFill>
              </a:rPr>
              <a:t> Services to EU in 2018 (bn) : Total </a:t>
            </a:r>
            <a:r>
              <a:rPr lang="en-US" b="1" baseline="0">
                <a:solidFill>
                  <a:schemeClr val="tx1">
                    <a:lumMod val="85000"/>
                    <a:lumOff val="15000"/>
                  </a:schemeClr>
                </a:solidFill>
                <a:latin typeface="Calibri" panose="020F0502020204030204" pitchFamily="34" charset="0"/>
                <a:cs typeface="Calibri" panose="020F0502020204030204" pitchFamily="34" charset="0"/>
              </a:rPr>
              <a:t>£283 bn</a:t>
            </a:r>
            <a:endParaRPr lang="en-US" b="1">
              <a:solidFill>
                <a:schemeClr val="tx1">
                  <a:lumMod val="85000"/>
                  <a:lumOff val="15000"/>
                </a:schemeClr>
              </a:solidFill>
            </a:endParaRPr>
          </a:p>
        </c:rich>
      </c:tx>
      <c:layout>
        <c:manualLayout>
          <c:xMode val="edge"/>
          <c:yMode val="edge"/>
          <c:x val="0.12413566371465617"/>
          <c:y val="6.251867325522635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3.0828563066944648E-2"/>
          <c:y val="0.16536008369282315"/>
          <c:w val="0.4745058617672791"/>
          <c:h val="0.77365108229233204"/>
        </c:manualLayout>
      </c:layout>
      <c:doughnutChart>
        <c:varyColors val="1"/>
        <c:ser>
          <c:idx val="0"/>
          <c:order val="0"/>
          <c:spPr>
            <a:ln w="12700">
              <a:solidFill>
                <a:srgbClr val="000000"/>
              </a:solidFill>
            </a:ln>
          </c:spPr>
          <c:dPt>
            <c:idx val="0"/>
            <c:bubble3D val="0"/>
            <c:spPr>
              <a:solidFill>
                <a:schemeClr val="accent1">
                  <a:lumMod val="50000"/>
                </a:schemeClr>
              </a:solidFill>
              <a:ln w="12700">
                <a:solidFill>
                  <a:srgbClr val="000000"/>
                </a:solidFill>
              </a:ln>
              <a:effectLst/>
            </c:spPr>
            <c:extLst>
              <c:ext xmlns:c16="http://schemas.microsoft.com/office/drawing/2014/chart" uri="{C3380CC4-5D6E-409C-BE32-E72D297353CC}">
                <c16:uniqueId val="{00000001-7FF9-4A4E-8917-AC23637744E8}"/>
              </c:ext>
            </c:extLst>
          </c:dPt>
          <c:dPt>
            <c:idx val="1"/>
            <c:bubble3D val="0"/>
            <c:spPr>
              <a:solidFill>
                <a:schemeClr val="accent1">
                  <a:lumMod val="75000"/>
                </a:schemeClr>
              </a:solidFill>
              <a:ln w="12700">
                <a:solidFill>
                  <a:srgbClr val="000000"/>
                </a:solidFill>
              </a:ln>
              <a:effectLst/>
            </c:spPr>
            <c:extLst>
              <c:ext xmlns:c16="http://schemas.microsoft.com/office/drawing/2014/chart" uri="{C3380CC4-5D6E-409C-BE32-E72D297353CC}">
                <c16:uniqueId val="{00000003-7FF9-4A4E-8917-AC23637744E8}"/>
              </c:ext>
            </c:extLst>
          </c:dPt>
          <c:dPt>
            <c:idx val="2"/>
            <c:bubble3D val="0"/>
            <c:spPr>
              <a:solidFill>
                <a:srgbClr val="C00000"/>
              </a:solidFill>
              <a:ln w="12700">
                <a:solidFill>
                  <a:srgbClr val="000000"/>
                </a:solidFill>
              </a:ln>
              <a:effectLst/>
            </c:spPr>
            <c:extLst>
              <c:ext xmlns:c16="http://schemas.microsoft.com/office/drawing/2014/chart" uri="{C3380CC4-5D6E-409C-BE32-E72D297353CC}">
                <c16:uniqueId val="{00000005-7FF9-4A4E-8917-AC23637744E8}"/>
              </c:ext>
            </c:extLst>
          </c:dPt>
          <c:dPt>
            <c:idx val="3"/>
            <c:bubble3D val="0"/>
            <c:spPr>
              <a:solidFill>
                <a:srgbClr val="FF9999"/>
              </a:solidFill>
              <a:ln w="12700">
                <a:solidFill>
                  <a:srgbClr val="000000"/>
                </a:solidFill>
              </a:ln>
              <a:effectLst/>
            </c:spPr>
            <c:extLst>
              <c:ext xmlns:c16="http://schemas.microsoft.com/office/drawing/2014/chart" uri="{C3380CC4-5D6E-409C-BE32-E72D297353CC}">
                <c16:uniqueId val="{00000007-7FF9-4A4E-8917-AC23637744E8}"/>
              </c:ext>
            </c:extLst>
          </c:dPt>
          <c:dPt>
            <c:idx val="4"/>
            <c:bubble3D val="0"/>
            <c:spPr>
              <a:solidFill>
                <a:schemeClr val="accent1">
                  <a:lumMod val="60000"/>
                  <a:lumOff val="40000"/>
                </a:schemeClr>
              </a:solidFill>
              <a:ln w="12700">
                <a:solidFill>
                  <a:srgbClr val="000000"/>
                </a:solidFill>
              </a:ln>
              <a:effectLst/>
            </c:spPr>
            <c:extLst>
              <c:ext xmlns:c16="http://schemas.microsoft.com/office/drawing/2014/chart" uri="{C3380CC4-5D6E-409C-BE32-E72D297353CC}">
                <c16:uniqueId val="{00000009-7FF9-4A4E-8917-AC23637744E8}"/>
              </c:ext>
            </c:extLst>
          </c:dPt>
          <c:dPt>
            <c:idx val="5"/>
            <c:bubble3D val="0"/>
            <c:spPr>
              <a:solidFill>
                <a:srgbClr val="062B03"/>
              </a:solidFill>
              <a:ln w="12700">
                <a:solidFill>
                  <a:srgbClr val="000000"/>
                </a:solidFill>
              </a:ln>
              <a:effectLst/>
            </c:spPr>
            <c:extLst>
              <c:ext xmlns:c16="http://schemas.microsoft.com/office/drawing/2014/chart" uri="{C3380CC4-5D6E-409C-BE32-E72D297353CC}">
                <c16:uniqueId val="{0000000B-7FF9-4A4E-8917-AC23637744E8}"/>
              </c:ext>
            </c:extLst>
          </c:dPt>
          <c:dPt>
            <c:idx val="6"/>
            <c:bubble3D val="0"/>
            <c:spPr>
              <a:solidFill>
                <a:schemeClr val="accent1">
                  <a:lumMod val="20000"/>
                  <a:lumOff val="80000"/>
                </a:schemeClr>
              </a:solidFill>
              <a:ln w="12700">
                <a:solidFill>
                  <a:srgbClr val="000000"/>
                </a:solidFill>
              </a:ln>
              <a:effectLst/>
            </c:spPr>
            <c:extLst>
              <c:ext xmlns:c16="http://schemas.microsoft.com/office/drawing/2014/chart" uri="{C3380CC4-5D6E-409C-BE32-E72D297353CC}">
                <c16:uniqueId val="{0000000D-7FF9-4A4E-8917-AC23637744E8}"/>
              </c:ext>
            </c:extLst>
          </c:dPt>
          <c:dPt>
            <c:idx val="7"/>
            <c:bubble3D val="0"/>
            <c:spPr>
              <a:solidFill>
                <a:srgbClr val="FF0000"/>
              </a:solidFill>
              <a:ln w="12700">
                <a:solidFill>
                  <a:srgbClr val="000000"/>
                </a:solidFill>
              </a:ln>
              <a:effectLst/>
            </c:spPr>
            <c:extLst>
              <c:ext xmlns:c16="http://schemas.microsoft.com/office/drawing/2014/chart" uri="{C3380CC4-5D6E-409C-BE32-E72D297353CC}">
                <c16:uniqueId val="{0000000F-7FF9-4A4E-8917-AC23637744E8}"/>
              </c:ext>
            </c:extLst>
          </c:dPt>
          <c:dPt>
            <c:idx val="8"/>
            <c:bubble3D val="0"/>
            <c:spPr>
              <a:solidFill>
                <a:srgbClr val="046072"/>
              </a:solidFill>
              <a:ln w="12700">
                <a:solidFill>
                  <a:srgbClr val="000000"/>
                </a:solidFill>
              </a:ln>
              <a:effectLst/>
            </c:spPr>
            <c:extLst>
              <c:ext xmlns:c16="http://schemas.microsoft.com/office/drawing/2014/chart" uri="{C3380CC4-5D6E-409C-BE32-E72D297353CC}">
                <c16:uniqueId val="{00000011-7FF9-4A4E-8917-AC23637744E8}"/>
              </c:ext>
            </c:extLst>
          </c:dPt>
          <c:dLbls>
            <c:dLbl>
              <c:idx val="4"/>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FF9-4A4E-8917-AC23637744E8}"/>
                </c:ext>
              </c:extLst>
            </c:dLbl>
            <c:dLbl>
              <c:idx val="5"/>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FF9-4A4E-8917-AC23637744E8}"/>
                </c:ext>
              </c:extLst>
            </c:dLbl>
            <c:dLbl>
              <c:idx val="6"/>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FF9-4A4E-8917-AC23637744E8}"/>
                </c:ext>
              </c:extLst>
            </c:dLbl>
            <c:dLbl>
              <c:idx val="7"/>
              <c:layout>
                <c:manualLayout>
                  <c:x val="-1.7868957228313682E-2"/>
                  <c:y val="0"/>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7FF9-4A4E-8917-AC23637744E8}"/>
                </c:ext>
              </c:extLst>
            </c:dLbl>
            <c:dLbl>
              <c:idx val="8"/>
              <c:layout>
                <c:manualLayout>
                  <c:x val="-1.7632283464566929E-2"/>
                  <c:y val="-1.7901455499880696E-2"/>
                </c:manualLayout>
              </c:layout>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1"/>
              <c:showBubbleSize val="0"/>
              <c:separator>
</c:separator>
              <c:extLst>
                <c:ext xmlns:c15="http://schemas.microsoft.com/office/drawing/2012/chart" uri="{CE6537A1-D6FC-4f65-9D91-7224C49458BB}">
                  <c15:layout>
                    <c:manualLayout>
                      <c:w val="0.13863464566929132"/>
                      <c:h val="0.14058786685755192"/>
                    </c:manualLayout>
                  </c15:layout>
                </c:ext>
                <c:ext xmlns:c16="http://schemas.microsoft.com/office/drawing/2014/chart" uri="{C3380CC4-5D6E-409C-BE32-E72D297353CC}">
                  <c16:uniqueId val="{00000011-7FF9-4A4E-8917-AC23637744E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 Trade in Services'!$A$27:$A$35</c:f>
              <c:strCache>
                <c:ptCount val="9"/>
                <c:pt idx="0">
                  <c:v>Financial services</c:v>
                </c:pt>
                <c:pt idx="1">
                  <c:v>General technical &amp; business services (engineering, architectural etc)</c:v>
                </c:pt>
                <c:pt idx="2">
                  <c:v>Travel</c:v>
                </c:pt>
                <c:pt idx="3">
                  <c:v>Professional services (legal, accounting, management consultancy etc)</c:v>
                </c:pt>
                <c:pt idx="4">
                  <c:v>Transport (air &amp; sea)</c:v>
                </c:pt>
                <c:pt idx="5">
                  <c:v>Telecommunications &amp; IT services</c:v>
                </c:pt>
                <c:pt idx="6">
                  <c:v>Insurance &amp; Pension</c:v>
                </c:pt>
                <c:pt idx="7">
                  <c:v>Intellectual property</c:v>
                </c:pt>
                <c:pt idx="8">
                  <c:v>The rest</c:v>
                </c:pt>
              </c:strCache>
            </c:strRef>
          </c:cat>
          <c:val>
            <c:numRef>
              <c:f>'3. Trade in Services'!$B$27:$B$35</c:f>
              <c:numCache>
                <c:formatCode>_-[$£-809]* #,##0.0_-;\-[$£-809]* #,##0.0_-;_-[$£-809]* "-"??_-;_-@_-</c:formatCode>
                <c:ptCount val="9"/>
                <c:pt idx="0">
                  <c:v>26.741</c:v>
                </c:pt>
                <c:pt idx="1">
                  <c:v>16.888000000000002</c:v>
                </c:pt>
                <c:pt idx="2">
                  <c:v>17.123000000000001</c:v>
                </c:pt>
                <c:pt idx="3">
                  <c:v>12.955</c:v>
                </c:pt>
                <c:pt idx="4">
                  <c:v>13.090999999999999</c:v>
                </c:pt>
                <c:pt idx="5">
                  <c:v>9.234</c:v>
                </c:pt>
                <c:pt idx="6">
                  <c:v>6.3040000000000003</c:v>
                </c:pt>
                <c:pt idx="7">
                  <c:v>6.0250000000000004</c:v>
                </c:pt>
                <c:pt idx="8">
                  <c:v>8.3460000000000001</c:v>
                </c:pt>
              </c:numCache>
            </c:numRef>
          </c:val>
          <c:extLst>
            <c:ext xmlns:c16="http://schemas.microsoft.com/office/drawing/2014/chart" uri="{C3380CC4-5D6E-409C-BE32-E72D297353CC}">
              <c16:uniqueId val="{00000018-7FF9-4A4E-8917-AC23637744E8}"/>
            </c:ext>
          </c:extLst>
        </c:ser>
        <c:dLbls>
          <c:showLegendKey val="0"/>
          <c:showVal val="0"/>
          <c:showCatName val="0"/>
          <c:showSerName val="0"/>
          <c:showPercent val="1"/>
          <c:showBubbleSize val="0"/>
          <c:showLeaderLines val="1"/>
        </c:dLbls>
        <c:firstSliceAng val="0"/>
        <c:holeSize val="50"/>
        <c:extLst/>
      </c:doughnutChart>
      <c:spPr>
        <a:noFill/>
        <a:ln>
          <a:noFill/>
        </a:ln>
        <a:effectLst/>
      </c:spPr>
    </c:plotArea>
    <c:legend>
      <c:legendPos val="r"/>
      <c:legendEntry>
        <c:idx val="2"/>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US"/>
          </a:p>
        </c:txPr>
      </c:legendEntry>
      <c:layout>
        <c:manualLayout>
          <c:xMode val="edge"/>
          <c:yMode val="edge"/>
          <c:x val="0.47917160354955629"/>
          <c:y val="0.19449201983453188"/>
          <c:w val="0.50640686580844063"/>
          <c:h val="0.776765613915156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US"/>
              <a:t>Annual growth in UK imports: CAGR 1999 </a:t>
            </a:r>
            <a:r>
              <a:rPr lang="en-US" sz="1400" b="1" i="0" u="none" strike="noStrike" baseline="0">
                <a:effectLst/>
              </a:rPr>
              <a:t>‒</a:t>
            </a:r>
            <a:r>
              <a:rPr lang="en-US"/>
              <a:t> 2018</a:t>
            </a:r>
          </a:p>
        </c:rich>
      </c:tx>
      <c:layout>
        <c:manualLayout>
          <c:xMode val="edge"/>
          <c:yMode val="edge"/>
          <c:x val="0.22803660896941183"/>
          <c:y val="4.279761613908214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8.1655773881472743E-2"/>
          <c:y val="0.16245370370370371"/>
          <c:w val="0.89796947198865851"/>
          <c:h val="0.46242275970371516"/>
        </c:manualLayout>
      </c:layout>
      <c:barChart>
        <c:barDir val="col"/>
        <c:grouping val="clustered"/>
        <c:varyColors val="0"/>
        <c:ser>
          <c:idx val="0"/>
          <c:order val="0"/>
          <c:tx>
            <c:strRef>
              <c:f>'1. All Trade'!$B$49</c:f>
              <c:strCache>
                <c:ptCount val="1"/>
                <c:pt idx="0">
                  <c:v>CAGR 1999 - 2018</c:v>
                </c:pt>
              </c:strCache>
            </c:strRef>
          </c:tx>
          <c:spPr>
            <a:solidFill>
              <a:schemeClr val="accent1"/>
            </a:solidFill>
            <a:ln w="9525">
              <a:solidFill>
                <a:srgbClr val="062B03"/>
              </a:solidFill>
            </a:ln>
            <a:effectLst/>
          </c:spPr>
          <c:invertIfNegative val="0"/>
          <c:dPt>
            <c:idx val="0"/>
            <c:invertIfNegative val="0"/>
            <c:bubble3D val="0"/>
            <c:spPr>
              <a:solidFill>
                <a:srgbClr val="002776"/>
              </a:solidFill>
              <a:ln w="9525">
                <a:solidFill>
                  <a:srgbClr val="062B03"/>
                </a:solidFill>
              </a:ln>
              <a:effectLst/>
            </c:spPr>
            <c:extLst>
              <c:ext xmlns:c16="http://schemas.microsoft.com/office/drawing/2014/chart" uri="{C3380CC4-5D6E-409C-BE32-E72D297353CC}">
                <c16:uniqueId val="{0000000C-1DC8-4520-9514-A6807E1A7822}"/>
              </c:ext>
            </c:extLst>
          </c:dPt>
          <c:dPt>
            <c:idx val="1"/>
            <c:invertIfNegative val="0"/>
            <c:bubble3D val="0"/>
            <c:spPr>
              <a:solidFill>
                <a:srgbClr val="3F78A7"/>
              </a:solidFill>
              <a:ln w="9525">
                <a:solidFill>
                  <a:srgbClr val="062B03"/>
                </a:solidFill>
              </a:ln>
              <a:effectLst/>
            </c:spPr>
            <c:extLst>
              <c:ext xmlns:c16="http://schemas.microsoft.com/office/drawing/2014/chart" uri="{C3380CC4-5D6E-409C-BE32-E72D297353CC}">
                <c16:uniqueId val="{00000003-E74F-4B69-8948-725E48A6F3BF}"/>
              </c:ext>
            </c:extLst>
          </c:dPt>
          <c:dPt>
            <c:idx val="2"/>
            <c:invertIfNegative val="0"/>
            <c:bubble3D val="0"/>
            <c:spPr>
              <a:solidFill>
                <a:srgbClr val="D78397"/>
              </a:solidFill>
              <a:ln w="9525">
                <a:solidFill>
                  <a:srgbClr val="062B03"/>
                </a:solidFill>
              </a:ln>
              <a:effectLst/>
            </c:spPr>
            <c:extLst>
              <c:ext xmlns:c16="http://schemas.microsoft.com/office/drawing/2014/chart" uri="{C3380CC4-5D6E-409C-BE32-E72D297353CC}">
                <c16:uniqueId val="{00000005-E74F-4B69-8948-725E48A6F3BF}"/>
              </c:ext>
            </c:extLst>
          </c:dPt>
          <c:dPt>
            <c:idx val="3"/>
            <c:invertIfNegative val="0"/>
            <c:bubble3D val="0"/>
            <c:spPr>
              <a:solidFill>
                <a:srgbClr val="990000"/>
              </a:solidFill>
              <a:ln w="9525">
                <a:solidFill>
                  <a:srgbClr val="062B03"/>
                </a:solidFill>
              </a:ln>
              <a:effectLst/>
            </c:spPr>
            <c:extLst>
              <c:ext xmlns:c16="http://schemas.microsoft.com/office/drawing/2014/chart" uri="{C3380CC4-5D6E-409C-BE32-E72D297353CC}">
                <c16:uniqueId val="{00000007-E74F-4B69-8948-725E48A6F3BF}"/>
              </c:ext>
            </c:extLst>
          </c:dPt>
          <c:dLbls>
            <c:dLbl>
              <c:idx val="1"/>
              <c:layout>
                <c:manualLayout>
                  <c:x val="0"/>
                  <c:y val="0.1168980814017966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4F-4B69-8948-725E48A6F3BF}"/>
                </c:ext>
              </c:extLst>
            </c:dLbl>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All Trade'!$A$50:$A$53</c:f>
              <c:strCache>
                <c:ptCount val="4"/>
                <c:pt idx="0">
                  <c:v>Services from non-EU</c:v>
                </c:pt>
                <c:pt idx="1">
                  <c:v>Services from EU</c:v>
                </c:pt>
                <c:pt idx="2">
                  <c:v>Goods from non-EU</c:v>
                </c:pt>
                <c:pt idx="3">
                  <c:v>Goods from EU</c:v>
                </c:pt>
              </c:strCache>
            </c:strRef>
          </c:cat>
          <c:val>
            <c:numRef>
              <c:f>'1. All Trade'!$B$50:$B$53</c:f>
              <c:numCache>
                <c:formatCode>0.0%</c:formatCode>
                <c:ptCount val="4"/>
                <c:pt idx="0">
                  <c:v>4.5979002408236269E-2</c:v>
                </c:pt>
                <c:pt idx="1">
                  <c:v>3.0924479275734384E-2</c:v>
                </c:pt>
                <c:pt idx="2">
                  <c:v>3.018512937515494E-2</c:v>
                </c:pt>
                <c:pt idx="3">
                  <c:v>3.0005842287019302E-2</c:v>
                </c:pt>
              </c:numCache>
            </c:numRef>
          </c:val>
          <c:extLst>
            <c:ext xmlns:c16="http://schemas.microsoft.com/office/drawing/2014/chart" uri="{C3380CC4-5D6E-409C-BE32-E72D297353CC}">
              <c16:uniqueId val="{00000008-E74F-4B69-8948-725E48A6F3BF}"/>
            </c:ext>
          </c:extLst>
        </c:ser>
        <c:dLbls>
          <c:dLblPos val="inEnd"/>
          <c:showLegendKey val="0"/>
          <c:showVal val="1"/>
          <c:showCatName val="0"/>
          <c:showSerName val="0"/>
          <c:showPercent val="0"/>
          <c:showBubbleSize val="0"/>
        </c:dLbls>
        <c:gapWidth val="219"/>
        <c:overlap val="-27"/>
        <c:axId val="673336432"/>
        <c:axId val="673332496"/>
      </c:barChart>
      <c:catAx>
        <c:axId val="67333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crossAx val="673332496"/>
        <c:crosses val="autoZero"/>
        <c:auto val="1"/>
        <c:lblAlgn val="ctr"/>
        <c:lblOffset val="100"/>
        <c:noMultiLvlLbl val="0"/>
      </c:catAx>
      <c:valAx>
        <c:axId val="673332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85000"/>
                    <a:lumOff val="15000"/>
                  </a:schemeClr>
                </a:solidFill>
                <a:latin typeface="+mn-lt"/>
                <a:ea typeface="+mn-ea"/>
                <a:cs typeface="+mn-cs"/>
              </a:defRPr>
            </a:pPr>
            <a:endParaRPr lang="en-US"/>
          </a:p>
        </c:txPr>
        <c:crossAx val="673336432"/>
        <c:crosses val="autoZero"/>
        <c:crossBetween val="between"/>
        <c:majorUnit val="1.0000000000000002E-2"/>
      </c:valAx>
      <c:spPr>
        <a:noFill/>
        <a:ln>
          <a:noFill/>
        </a:ln>
        <a:effectLst/>
      </c:spPr>
    </c:plotArea>
    <c:plotVisOnly val="1"/>
    <c:dispBlanksAs val="gap"/>
    <c:showDLblsOverMax val="0"/>
  </c:chart>
  <c:spPr>
    <a:solidFill>
      <a:schemeClr val="bg1"/>
    </a:solidFill>
    <a:ln w="9525" cap="flat" cmpd="sng" algn="ctr">
      <a:solidFill>
        <a:srgbClr val="062B03"/>
      </a:solidFill>
      <a:round/>
    </a:ln>
    <a:effectLst/>
  </c:spPr>
  <c:txPr>
    <a:bodyPr/>
    <a:lstStyle/>
    <a:p>
      <a:pPr>
        <a:defRPr b="1">
          <a:solidFill>
            <a:schemeClr val="tx1">
              <a:lumMod val="85000"/>
              <a:lumOff val="15000"/>
            </a:schemeClr>
          </a:solidFill>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AU" sz="1600" b="1" i="0" baseline="0">
                <a:effectLst/>
              </a:rPr>
              <a:t>UK – EU trade in services: 1999 – 2018</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AU" sz="1200" b="1" i="0" baseline="0">
                <a:effectLst/>
              </a:rPr>
              <a:t>2016 prices</a:t>
            </a:r>
            <a:endParaRPr lang="en-AU" sz="105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AU" sz="14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7.6992833822999832E-2"/>
          <c:y val="0.18202905474877509"/>
          <c:w val="0.90733020714346391"/>
          <c:h val="0.55971720480703135"/>
        </c:manualLayout>
      </c:layout>
      <c:barChart>
        <c:barDir val="col"/>
        <c:grouping val="clustered"/>
        <c:varyColors val="0"/>
        <c:ser>
          <c:idx val="0"/>
          <c:order val="0"/>
          <c:tx>
            <c:strRef>
              <c:f>'3. Trade in Services'!$A$166</c:f>
              <c:strCache>
                <c:ptCount val="1"/>
                <c:pt idx="0">
                  <c:v>Services exports to non-EU (£ billion)</c:v>
                </c:pt>
              </c:strCache>
            </c:strRef>
          </c:tx>
          <c:spPr>
            <a:solidFill>
              <a:srgbClr val="C00000"/>
            </a:solidFill>
            <a:ln>
              <a:noFill/>
            </a:ln>
            <a:effectLst/>
          </c:spPr>
          <c:invertIfNegative val="0"/>
          <c:cat>
            <c:numRef>
              <c:f>'3. Trade in Services'!$B$160:$U$160</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'3. Trade in Services'!$B$166:$U$166</c:f>
              <c:numCache>
                <c:formatCode>0.000</c:formatCode>
                <c:ptCount val="20"/>
                <c:pt idx="0">
                  <c:v>61.314016172506733</c:v>
                </c:pt>
                <c:pt idx="1">
                  <c:v>64.046052631578945</c:v>
                </c:pt>
                <c:pt idx="2">
                  <c:v>67.760784313725495</c:v>
                </c:pt>
                <c:pt idx="3">
                  <c:v>73.372679045092838</c:v>
                </c:pt>
                <c:pt idx="4">
                  <c:v>81.031331592689313</c:v>
                </c:pt>
                <c:pt idx="5">
                  <c:v>90.548684210526304</c:v>
                </c:pt>
                <c:pt idx="6">
                  <c:v>95.835877862595424</c:v>
                </c:pt>
                <c:pt idx="7">
                  <c:v>108.57677902621724</c:v>
                </c:pt>
                <c:pt idx="8">
                  <c:v>119.36489898989899</c:v>
                </c:pt>
                <c:pt idx="9">
                  <c:v>115.31185270425776</c:v>
                </c:pt>
                <c:pt idx="10">
                  <c:v>115.47117516629712</c:v>
                </c:pt>
                <c:pt idx="11">
                  <c:v>111.77555321390938</c:v>
                </c:pt>
                <c:pt idx="12">
                  <c:v>116.5691382765531</c:v>
                </c:pt>
                <c:pt idx="13">
                  <c:v>123.30110775427997</c:v>
                </c:pt>
                <c:pt idx="14">
                  <c:v>140.08669950738917</c:v>
                </c:pt>
                <c:pt idx="15">
                  <c:v>138.50202839756591</c:v>
                </c:pt>
                <c:pt idx="16">
                  <c:v>149.95758218451749</c:v>
                </c:pt>
                <c:pt idx="17">
                  <c:v>160.148</c:v>
                </c:pt>
                <c:pt idx="18">
                  <c:v>156.1304761904762</c:v>
                </c:pt>
                <c:pt idx="19">
                  <c:v>154.78551532033427</c:v>
                </c:pt>
              </c:numCache>
            </c:numRef>
          </c:val>
          <c:extLst>
            <c:ext xmlns:c16="http://schemas.microsoft.com/office/drawing/2014/chart" uri="{C3380CC4-5D6E-409C-BE32-E72D297353CC}">
              <c16:uniqueId val="{00000000-E4B2-42B1-833C-246AD5CD3D85}"/>
            </c:ext>
          </c:extLst>
        </c:ser>
        <c:ser>
          <c:idx val="1"/>
          <c:order val="1"/>
          <c:tx>
            <c:strRef>
              <c:f>'3. Trade in Services'!$A$167</c:f>
              <c:strCache>
                <c:ptCount val="1"/>
                <c:pt idx="0">
                  <c:v>Services imports from non-EU(£ billion)</c:v>
                </c:pt>
              </c:strCache>
            </c:strRef>
          </c:tx>
          <c:spPr>
            <a:solidFill>
              <a:srgbClr val="002060"/>
            </a:solidFill>
            <a:ln>
              <a:noFill/>
            </a:ln>
            <a:effectLst/>
          </c:spPr>
          <c:invertIfNegative val="0"/>
          <c:cat>
            <c:numRef>
              <c:f>'3. Trade in Services'!$B$160:$U$160</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'3. Trade in Services'!$B$167:$U$167</c:f>
              <c:numCache>
                <c:formatCode>0.000</c:formatCode>
                <c:ptCount val="20"/>
                <c:pt idx="0">
                  <c:v>35.108040201005032</c:v>
                </c:pt>
                <c:pt idx="1">
                  <c:v>37.675642594859234</c:v>
                </c:pt>
                <c:pt idx="2">
                  <c:v>38.959558823529413</c:v>
                </c:pt>
                <c:pt idx="3">
                  <c:v>42.47540983606558</c:v>
                </c:pt>
                <c:pt idx="4">
                  <c:v>45.876574307304786</c:v>
                </c:pt>
                <c:pt idx="5">
                  <c:v>49.775223499361431</c:v>
                </c:pt>
                <c:pt idx="6">
                  <c:v>52.571604938271598</c:v>
                </c:pt>
                <c:pt idx="7">
                  <c:v>56.653429602888089</c:v>
                </c:pt>
                <c:pt idx="8">
                  <c:v>60.234449760765557</c:v>
                </c:pt>
                <c:pt idx="9">
                  <c:v>60.193823216187425</c:v>
                </c:pt>
                <c:pt idx="10">
                  <c:v>60.794363256784969</c:v>
                </c:pt>
                <c:pt idx="11">
                  <c:v>61.342741935483865</c:v>
                </c:pt>
                <c:pt idx="12">
                  <c:v>57.743638077285581</c:v>
                </c:pt>
                <c:pt idx="13">
                  <c:v>58.509021842355182</c:v>
                </c:pt>
                <c:pt idx="14">
                  <c:v>63.656632173095019</c:v>
                </c:pt>
                <c:pt idx="15">
                  <c:v>66.944062806673202</c:v>
                </c:pt>
                <c:pt idx="16">
                  <c:v>76.442708333333343</c:v>
                </c:pt>
                <c:pt idx="17">
                  <c:v>78.13</c:v>
                </c:pt>
                <c:pt idx="18">
                  <c:v>79.87760910815939</c:v>
                </c:pt>
                <c:pt idx="19">
                  <c:v>81.937384898710874</c:v>
                </c:pt>
              </c:numCache>
            </c:numRef>
          </c:val>
          <c:extLst>
            <c:ext xmlns:c16="http://schemas.microsoft.com/office/drawing/2014/chart" uri="{C3380CC4-5D6E-409C-BE32-E72D297353CC}">
              <c16:uniqueId val="{00000001-E4B2-42B1-833C-246AD5CD3D85}"/>
            </c:ext>
          </c:extLst>
        </c:ser>
        <c:ser>
          <c:idx val="2"/>
          <c:order val="2"/>
          <c:tx>
            <c:strRef>
              <c:f>'3. Trade in Services'!$A$168</c:f>
              <c:strCache>
                <c:ptCount val="1"/>
                <c:pt idx="0">
                  <c:v>Balance</c:v>
                </c:pt>
              </c:strCache>
            </c:strRef>
          </c:tx>
          <c:spPr>
            <a:solidFill>
              <a:schemeClr val="accent3"/>
            </a:solidFill>
            <a:ln>
              <a:solidFill>
                <a:sysClr val="windowText" lastClr="000000"/>
              </a:solidFill>
            </a:ln>
            <a:effectLst/>
          </c:spPr>
          <c:invertIfNegative val="0"/>
          <c:cat>
            <c:numRef>
              <c:f>'3. Trade in Services'!$B$160:$U$160</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'3. Trade in Services'!$B$168:$U$168</c:f>
              <c:numCache>
                <c:formatCode>0.00</c:formatCode>
                <c:ptCount val="20"/>
                <c:pt idx="0">
                  <c:v>26.205975971501701</c:v>
                </c:pt>
                <c:pt idx="1">
                  <c:v>26.370410036719711</c:v>
                </c:pt>
                <c:pt idx="2">
                  <c:v>28.801225490196082</c:v>
                </c:pt>
                <c:pt idx="3">
                  <c:v>30.897269209027257</c:v>
                </c:pt>
                <c:pt idx="4">
                  <c:v>35.154757285384527</c:v>
                </c:pt>
                <c:pt idx="5">
                  <c:v>40.773460711164873</c:v>
                </c:pt>
                <c:pt idx="6">
                  <c:v>43.264272924323826</c:v>
                </c:pt>
                <c:pt idx="7">
                  <c:v>51.923349423329149</c:v>
                </c:pt>
                <c:pt idx="8">
                  <c:v>59.130449229133433</c:v>
                </c:pt>
                <c:pt idx="9">
                  <c:v>55.118029488070334</c:v>
                </c:pt>
                <c:pt idx="10">
                  <c:v>54.676811909512146</c:v>
                </c:pt>
                <c:pt idx="11">
                  <c:v>50.432811278425511</c:v>
                </c:pt>
                <c:pt idx="12">
                  <c:v>58.825500199267523</c:v>
                </c:pt>
                <c:pt idx="13">
                  <c:v>64.792085911924787</c:v>
                </c:pt>
                <c:pt idx="14">
                  <c:v>76.430067334294151</c:v>
                </c:pt>
                <c:pt idx="15">
                  <c:v>71.557965590892707</c:v>
                </c:pt>
                <c:pt idx="16">
                  <c:v>73.514873851184149</c:v>
                </c:pt>
                <c:pt idx="17">
                  <c:v>82.018000000000001</c:v>
                </c:pt>
                <c:pt idx="18">
                  <c:v>76.252867082316811</c:v>
                </c:pt>
                <c:pt idx="19">
                  <c:v>72.848130421623395</c:v>
                </c:pt>
              </c:numCache>
            </c:numRef>
          </c:val>
          <c:extLst>
            <c:ext xmlns:c16="http://schemas.microsoft.com/office/drawing/2014/chart" uri="{C3380CC4-5D6E-409C-BE32-E72D297353CC}">
              <c16:uniqueId val="{00000008-E4B2-42B1-833C-246AD5CD3D85}"/>
            </c:ext>
          </c:extLst>
        </c:ser>
        <c:dLbls>
          <c:showLegendKey val="0"/>
          <c:showVal val="0"/>
          <c:showCatName val="0"/>
          <c:showSerName val="0"/>
          <c:showPercent val="0"/>
          <c:showBubbleSize val="0"/>
        </c:dLbls>
        <c:gapWidth val="219"/>
        <c:overlap val="-27"/>
        <c:axId val="677211624"/>
        <c:axId val="677209656"/>
      </c:barChart>
      <c:catAx>
        <c:axId val="677211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677209656"/>
        <c:crosses val="autoZero"/>
        <c:auto val="1"/>
        <c:lblAlgn val="ctr"/>
        <c:lblOffset val="100"/>
        <c:noMultiLvlLbl val="0"/>
      </c:catAx>
      <c:valAx>
        <c:axId val="677209656"/>
        <c:scaling>
          <c:orientation val="minMax"/>
          <c:max val="16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AU" sz="1050" b="1">
                    <a:latin typeface="Calibri" panose="020F0502020204030204" pitchFamily="34" charset="0"/>
                    <a:cs typeface="Calibri" panose="020F0502020204030204" pitchFamily="34" charset="0"/>
                  </a:rPr>
                  <a:t>£ billion</a:t>
                </a:r>
                <a:endParaRPr lang="en-AU" sz="1050" b="1"/>
              </a:p>
            </c:rich>
          </c:tx>
          <c:layout>
            <c:manualLayout>
              <c:xMode val="edge"/>
              <c:yMode val="edge"/>
              <c:x val="1.2826602845620557E-2"/>
              <c:y val="0.35711299673361363"/>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77211624"/>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tx1">
                    <a:lumMod val="75000"/>
                    <a:lumOff val="25000"/>
                  </a:schemeClr>
                </a:solidFill>
                <a:latin typeface="+mn-lt"/>
                <a:ea typeface="+mn-ea"/>
                <a:cs typeface="+mn-cs"/>
              </a:defRPr>
            </a:pPr>
            <a:r>
              <a:rPr lang="en-US" sz="1400" b="1" i="0" u="none" strike="noStrike" kern="1200" spc="0" baseline="0">
                <a:solidFill>
                  <a:schemeClr val="tx1">
                    <a:lumMod val="75000"/>
                    <a:lumOff val="25000"/>
                  </a:schemeClr>
                </a:solidFill>
                <a:latin typeface="+mn-lt"/>
                <a:ea typeface="+mn-ea"/>
                <a:cs typeface="+mn-cs"/>
              </a:rPr>
              <a:t>UK-EU and US-China 2018 </a:t>
            </a:r>
            <a:br>
              <a:rPr lang="en-US" sz="1400" b="1" i="0" u="none" strike="noStrike" kern="1200" spc="0" baseline="0">
                <a:solidFill>
                  <a:schemeClr val="tx1">
                    <a:lumMod val="75000"/>
                    <a:lumOff val="25000"/>
                  </a:schemeClr>
                </a:solidFill>
                <a:latin typeface="+mn-lt"/>
                <a:ea typeface="+mn-ea"/>
                <a:cs typeface="+mn-cs"/>
              </a:rPr>
            </a:br>
            <a:r>
              <a:rPr lang="en-US" sz="1400" b="1" i="0" u="none" strike="noStrike" kern="1200" spc="0" baseline="0">
                <a:solidFill>
                  <a:schemeClr val="tx1">
                    <a:lumMod val="75000"/>
                    <a:lumOff val="25000"/>
                  </a:schemeClr>
                </a:solidFill>
                <a:latin typeface="+mn-lt"/>
                <a:ea typeface="+mn-ea"/>
                <a:cs typeface="+mn-cs"/>
              </a:rPr>
              <a:t>Deficits compared: US$ bn</a:t>
            </a:r>
          </a:p>
        </c:rich>
      </c:tx>
      <c:layout>
        <c:manualLayout>
          <c:xMode val="edge"/>
          <c:yMode val="edge"/>
          <c:x val="0.29475737590122114"/>
          <c:y val="4.5553137555615561E-2"/>
        </c:manualLayout>
      </c:layout>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'2. Trade in Goods'!$B$237</c:f>
              <c:strCache>
                <c:ptCount val="1"/>
                <c:pt idx="0">
                  <c:v>US$ bn</c:v>
                </c:pt>
              </c:strCache>
            </c:strRef>
          </c:tx>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8291-4EAF-A299-74A9B7180F66}"/>
              </c:ext>
            </c:extLst>
          </c:dPt>
          <c:dPt>
            <c:idx val="1"/>
            <c:invertIfNegative val="0"/>
            <c:bubble3D val="0"/>
            <c:spPr>
              <a:solidFill>
                <a:srgbClr val="C00000"/>
              </a:solidFill>
              <a:ln>
                <a:noFill/>
              </a:ln>
              <a:effectLst/>
            </c:spPr>
            <c:extLst>
              <c:ext xmlns:c16="http://schemas.microsoft.com/office/drawing/2014/chart" uri="{C3380CC4-5D6E-409C-BE32-E72D297353CC}">
                <c16:uniqueId val="{00000003-8291-4EAF-A299-74A9B7180F66}"/>
              </c:ext>
            </c:extLst>
          </c:dPt>
          <c:cat>
            <c:strRef>
              <c:f>'2. Trade in Goods'!$A$238:$A$239</c:f>
              <c:strCache>
                <c:ptCount val="2"/>
                <c:pt idx="0">
                  <c:v>US‒China </c:v>
                </c:pt>
                <c:pt idx="1">
                  <c:v>UK‒EU</c:v>
                </c:pt>
              </c:strCache>
            </c:strRef>
          </c:cat>
          <c:val>
            <c:numRef>
              <c:f>'2. Trade in Goods'!$B$238:$B$239</c:f>
              <c:numCache>
                <c:formatCode>_-"$"* #,##0.0_-;\-"$"* #,##0.0_-;_-"$"* "-"??_-;_-@_-</c:formatCode>
                <c:ptCount val="2"/>
                <c:pt idx="0">
                  <c:v>378.66200000000003</c:v>
                </c:pt>
                <c:pt idx="1">
                  <c:v>85.183840000000004</c:v>
                </c:pt>
              </c:numCache>
            </c:numRef>
          </c:val>
          <c:extLst>
            <c:ext xmlns:c16="http://schemas.microsoft.com/office/drawing/2014/chart" uri="{C3380CC4-5D6E-409C-BE32-E72D297353CC}">
              <c16:uniqueId val="{00000004-8291-4EAF-A299-74A9B7180F66}"/>
            </c:ext>
          </c:extLst>
        </c:ser>
        <c:dLbls>
          <c:showLegendKey val="0"/>
          <c:showVal val="0"/>
          <c:showCatName val="0"/>
          <c:showSerName val="0"/>
          <c:showPercent val="0"/>
          <c:showBubbleSize val="0"/>
        </c:dLbls>
        <c:gapWidth val="87"/>
        <c:axId val="625382200"/>
        <c:axId val="625377280"/>
      </c:barChart>
      <c:catAx>
        <c:axId val="625382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crossAx val="625377280"/>
        <c:crosses val="autoZero"/>
        <c:auto val="1"/>
        <c:lblAlgn val="ctr"/>
        <c:lblOffset val="100"/>
        <c:noMultiLvlLbl val="0"/>
      </c:catAx>
      <c:valAx>
        <c:axId val="625377280"/>
        <c:scaling>
          <c:orientation val="minMax"/>
          <c:max val="400"/>
          <c:min val="0"/>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625382200"/>
        <c:crosses val="autoZero"/>
        <c:crossBetween val="between"/>
        <c:majorUnit val="50"/>
        <c:minorUnit val="1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US" b="1"/>
              <a:t>Deficit in goods and services per person: 2018</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barChart>
        <c:barDir val="col"/>
        <c:grouping val="clustered"/>
        <c:varyColors val="0"/>
        <c:ser>
          <c:idx val="0"/>
          <c:order val="0"/>
          <c:tx>
            <c:strRef>
              <c:f>'2. Trade in Goods'!$B$245</c:f>
              <c:strCache>
                <c:ptCount val="1"/>
                <c:pt idx="0">
                  <c:v>US$ </c:v>
                </c:pt>
              </c:strCache>
            </c:strRef>
          </c:tx>
          <c:spPr>
            <a:solidFill>
              <a:schemeClr val="accent1"/>
            </a:solidFill>
            <a:ln>
              <a:noFill/>
            </a:ln>
            <a:effectLst/>
          </c:spPr>
          <c:invertIfNegative val="0"/>
          <c:dPt>
            <c:idx val="0"/>
            <c:invertIfNegative val="0"/>
            <c:bubble3D val="0"/>
            <c:spPr>
              <a:solidFill>
                <a:srgbClr val="C00000"/>
              </a:solidFill>
              <a:ln>
                <a:solidFill>
                  <a:srgbClr val="990000"/>
                </a:solidFill>
              </a:ln>
              <a:effectLst/>
            </c:spPr>
            <c:extLst>
              <c:ext xmlns:c16="http://schemas.microsoft.com/office/drawing/2014/chart" uri="{C3380CC4-5D6E-409C-BE32-E72D297353CC}">
                <c16:uniqueId val="{00000001-1F92-42C8-83E8-2C4CC163151A}"/>
              </c:ext>
            </c:extLst>
          </c:dPt>
          <c:dPt>
            <c:idx val="1"/>
            <c:invertIfNegative val="0"/>
            <c:bubble3D val="0"/>
            <c:spPr>
              <a:solidFill>
                <a:srgbClr val="002060"/>
              </a:solidFill>
              <a:ln>
                <a:noFill/>
              </a:ln>
              <a:effectLst/>
            </c:spPr>
            <c:extLst>
              <c:ext xmlns:c16="http://schemas.microsoft.com/office/drawing/2014/chart" uri="{C3380CC4-5D6E-409C-BE32-E72D297353CC}">
                <c16:uniqueId val="{00000003-1F92-42C8-83E8-2C4CC163151A}"/>
              </c:ext>
            </c:extLst>
          </c:dPt>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Goods'!$A$246:$A$247</c:f>
              <c:strCache>
                <c:ptCount val="2"/>
                <c:pt idx="0">
                  <c:v>US deficit with China </c:v>
                </c:pt>
                <c:pt idx="1">
                  <c:v>UK deficit with EU</c:v>
                </c:pt>
              </c:strCache>
            </c:strRef>
          </c:cat>
          <c:val>
            <c:numRef>
              <c:f>'2. Trade in Goods'!$B$246:$B$247</c:f>
              <c:numCache>
                <c:formatCode>_-[$$-409]* #,##0_ ;_-[$$-409]* \-#,##0\ ;_-[$$-409]* "-"??_ ;_-@_ </c:formatCode>
                <c:ptCount val="2"/>
                <c:pt idx="0">
                  <c:v>1176.6998135487881</c:v>
                </c:pt>
                <c:pt idx="1">
                  <c:v>1316.5972179289026</c:v>
                </c:pt>
              </c:numCache>
            </c:numRef>
          </c:val>
          <c:extLst>
            <c:ext xmlns:c16="http://schemas.microsoft.com/office/drawing/2014/chart" uri="{C3380CC4-5D6E-409C-BE32-E72D297353CC}">
              <c16:uniqueId val="{00000004-1F92-42C8-83E8-2C4CC163151A}"/>
            </c:ext>
          </c:extLst>
        </c:ser>
        <c:dLbls>
          <c:showLegendKey val="0"/>
          <c:showVal val="0"/>
          <c:showCatName val="0"/>
          <c:showSerName val="0"/>
          <c:showPercent val="0"/>
          <c:showBubbleSize val="0"/>
        </c:dLbls>
        <c:gapWidth val="219"/>
        <c:overlap val="-27"/>
        <c:axId val="429755488"/>
        <c:axId val="429755816"/>
      </c:barChart>
      <c:catAx>
        <c:axId val="42975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crossAx val="429755816"/>
        <c:crosses val="autoZero"/>
        <c:auto val="1"/>
        <c:lblAlgn val="ctr"/>
        <c:lblOffset val="100"/>
        <c:noMultiLvlLbl val="0"/>
      </c:catAx>
      <c:valAx>
        <c:axId val="429755816"/>
        <c:scaling>
          <c:orientation val="minMax"/>
          <c:max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r>
                  <a:rPr lang="en-US" sz="1100" b="1"/>
                  <a:t>Deficit per peron</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429755488"/>
        <c:crosses val="autoZero"/>
        <c:crossBetween val="between"/>
        <c:majorUnit val="50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solidFill>
                  <a:schemeClr val="tx1">
                    <a:lumMod val="75000"/>
                    <a:lumOff val="25000"/>
                  </a:schemeClr>
                </a:solidFill>
              </a:rPr>
              <a:t>Annual Growth Rates</a:t>
            </a:r>
            <a:r>
              <a:rPr lang="en-AU" b="1" baseline="0">
                <a:solidFill>
                  <a:schemeClr val="tx1">
                    <a:lumMod val="75000"/>
                    <a:lumOff val="25000"/>
                  </a:schemeClr>
                </a:solidFill>
              </a:rPr>
              <a:t>, 1999 </a:t>
            </a:r>
            <a:r>
              <a:rPr lang="en-AU" b="1" baseline="0">
                <a:solidFill>
                  <a:schemeClr val="tx1">
                    <a:lumMod val="75000"/>
                    <a:lumOff val="25000"/>
                  </a:schemeClr>
                </a:solidFill>
                <a:latin typeface="Calibri" panose="020F0502020204030204" pitchFamily="34" charset="0"/>
                <a:cs typeface="Calibri" panose="020F0502020204030204" pitchFamily="34" charset="0"/>
              </a:rPr>
              <a:t>‒ 2018</a:t>
            </a:r>
            <a:endParaRPr lang="en-AU" b="1">
              <a:solidFill>
                <a:schemeClr val="tx1">
                  <a:lumMod val="75000"/>
                  <a:lumOff val="25000"/>
                </a:schemeClr>
              </a:solidFill>
            </a:endParaRPr>
          </a:p>
        </c:rich>
      </c:tx>
      <c:layout>
        <c:manualLayout>
          <c:xMode val="edge"/>
          <c:yMode val="edge"/>
          <c:x val="0.21011789151356078"/>
          <c:y val="5.504587155963303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002060"/>
            </a:solidFill>
            <a:ln>
              <a:noFill/>
            </a:ln>
            <a:effectLst/>
          </c:spPr>
          <c:invertIfNegative val="0"/>
          <c:dPt>
            <c:idx val="1"/>
            <c:invertIfNegative val="0"/>
            <c:bubble3D val="0"/>
            <c:spPr>
              <a:solidFill>
                <a:srgbClr val="800000"/>
              </a:solidFill>
              <a:ln>
                <a:noFill/>
              </a:ln>
              <a:effectLst/>
            </c:spPr>
            <c:extLst>
              <c:ext xmlns:c16="http://schemas.microsoft.com/office/drawing/2014/chart" uri="{C3380CC4-5D6E-409C-BE32-E72D297353CC}">
                <c16:uniqueId val="{00000001-152E-49F1-9A47-D30DEABFC110}"/>
              </c:ext>
            </c:extLst>
          </c:dPt>
          <c:dPt>
            <c:idx val="2"/>
            <c:invertIfNegative val="0"/>
            <c:bubble3D val="0"/>
            <c:spPr>
              <a:solidFill>
                <a:srgbClr val="062B03"/>
              </a:solidFill>
              <a:ln>
                <a:noFill/>
              </a:ln>
              <a:effectLst/>
            </c:spPr>
            <c:extLst>
              <c:ext xmlns:c16="http://schemas.microsoft.com/office/drawing/2014/chart" uri="{C3380CC4-5D6E-409C-BE32-E72D297353CC}">
                <c16:uniqueId val="{00000003-152E-49F1-9A47-D30DEABFC110}"/>
              </c:ext>
            </c:extLst>
          </c:dPt>
          <c:dPt>
            <c:idx val="3"/>
            <c:invertIfNegative val="0"/>
            <c:bubble3D val="0"/>
            <c:spPr>
              <a:solidFill>
                <a:schemeClr val="accent2">
                  <a:lumMod val="50000"/>
                </a:schemeClr>
              </a:solidFill>
              <a:ln>
                <a:noFill/>
              </a:ln>
              <a:effectLst/>
            </c:spPr>
            <c:extLst>
              <c:ext xmlns:c16="http://schemas.microsoft.com/office/drawing/2014/chart" uri="{C3380CC4-5D6E-409C-BE32-E72D297353CC}">
                <c16:uniqueId val="{00000005-152E-49F1-9A47-D30DEABFC11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Goods'!$A$258:$A$261</c:f>
              <c:strCache>
                <c:ptCount val="4"/>
                <c:pt idx="0">
                  <c:v>UK Goods Exports to EU</c:v>
                </c:pt>
                <c:pt idx="1">
                  <c:v>UK Productivity </c:v>
                </c:pt>
                <c:pt idx="2">
                  <c:v>Eurozone GDP*</c:v>
                </c:pt>
                <c:pt idx="3">
                  <c:v>US Goods Exports to EU </c:v>
                </c:pt>
              </c:strCache>
            </c:strRef>
          </c:cat>
          <c:val>
            <c:numRef>
              <c:f>'2. Trade in Goods'!$B$258:$B$261</c:f>
              <c:numCache>
                <c:formatCode>0.00%</c:formatCode>
                <c:ptCount val="4"/>
                <c:pt idx="0">
                  <c:v>3.1002118786171984E-3</c:v>
                </c:pt>
                <c:pt idx="1">
                  <c:v>1.0400000000000003E-2</c:v>
                </c:pt>
                <c:pt idx="2">
                  <c:v>1.5599999999999999E-2</c:v>
                </c:pt>
                <c:pt idx="3">
                  <c:v>2.2429599800198652E-2</c:v>
                </c:pt>
              </c:numCache>
            </c:numRef>
          </c:val>
          <c:extLst>
            <c:ext xmlns:c16="http://schemas.microsoft.com/office/drawing/2014/chart" uri="{C3380CC4-5D6E-409C-BE32-E72D297353CC}">
              <c16:uniqueId val="{00000006-152E-49F1-9A47-D30DEABFC110}"/>
            </c:ext>
          </c:extLst>
        </c:ser>
        <c:dLbls>
          <c:showLegendKey val="0"/>
          <c:showVal val="0"/>
          <c:showCatName val="0"/>
          <c:showSerName val="0"/>
          <c:showPercent val="0"/>
          <c:showBubbleSize val="0"/>
        </c:dLbls>
        <c:gapWidth val="117"/>
        <c:overlap val="-27"/>
        <c:axId val="575806384"/>
        <c:axId val="575803432"/>
      </c:barChart>
      <c:catAx>
        <c:axId val="57580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crossAx val="575803432"/>
        <c:crosses val="autoZero"/>
        <c:auto val="1"/>
        <c:lblAlgn val="ctr"/>
        <c:lblOffset val="100"/>
        <c:noMultiLvlLbl val="0"/>
      </c:catAx>
      <c:valAx>
        <c:axId val="575803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crossAx val="5758063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AU" sz="1400" b="1" i="0" baseline="0">
                <a:solidFill>
                  <a:schemeClr val="tx1">
                    <a:lumMod val="75000"/>
                    <a:lumOff val="25000"/>
                  </a:schemeClr>
                </a:solidFill>
                <a:effectLst/>
              </a:rPr>
              <a:t>Comparative Nominal Goods Exports to EU: </a:t>
            </a:r>
          </a:p>
          <a:p>
            <a:pPr>
              <a:defRPr b="1">
                <a:solidFill>
                  <a:schemeClr val="tx1">
                    <a:lumMod val="75000"/>
                    <a:lumOff val="25000"/>
                  </a:schemeClr>
                </a:solidFill>
              </a:defRPr>
            </a:pPr>
            <a:r>
              <a:rPr lang="en-AU" sz="1400" b="1" i="0" baseline="0">
                <a:solidFill>
                  <a:schemeClr val="tx1">
                    <a:lumMod val="75000"/>
                    <a:lumOff val="25000"/>
                  </a:schemeClr>
                </a:solidFill>
                <a:effectLst/>
              </a:rPr>
              <a:t>UK &amp; US, 1999‒2018</a:t>
            </a:r>
            <a:endParaRPr lang="en-AU" sz="1400" b="1">
              <a:solidFill>
                <a:schemeClr val="tx1">
                  <a:lumMod val="75000"/>
                  <a:lumOff val="25000"/>
                </a:schemeClr>
              </a:solidFill>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'2. Trade in Goods'!$D$306</c:f>
              <c:strCache>
                <c:ptCount val="1"/>
                <c:pt idx="0">
                  <c:v>UK Exports to EU</c:v>
                </c:pt>
              </c:strCache>
            </c:strRef>
          </c:tx>
          <c:spPr>
            <a:ln w="28575" cap="rnd">
              <a:solidFill>
                <a:srgbClr val="002060"/>
              </a:solidFill>
              <a:round/>
            </a:ln>
            <a:effectLst/>
          </c:spPr>
          <c:marker>
            <c:symbol val="none"/>
          </c:marker>
          <c:cat>
            <c:strRef>
              <c:f>'2. Trade in Goods'!$F$305:$Y$305</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Goods'!$F$306:$Y$306</c:f>
              <c:numCache>
                <c:formatCode>General</c:formatCode>
                <c:ptCount val="20"/>
                <c:pt idx="0">
                  <c:v>102.352</c:v>
                </c:pt>
                <c:pt idx="1">
                  <c:v>112.834</c:v>
                </c:pt>
                <c:pt idx="2">
                  <c:v>113.941</c:v>
                </c:pt>
                <c:pt idx="3">
                  <c:v>114.76600000000001</c:v>
                </c:pt>
                <c:pt idx="4">
                  <c:v>111.623</c:v>
                </c:pt>
                <c:pt idx="5">
                  <c:v>112.324</c:v>
                </c:pt>
                <c:pt idx="6">
                  <c:v>121.92</c:v>
                </c:pt>
                <c:pt idx="7">
                  <c:v>153.387</c:v>
                </c:pt>
                <c:pt idx="8">
                  <c:v>128.17599999999999</c:v>
                </c:pt>
                <c:pt idx="9">
                  <c:v>142.404</c:v>
                </c:pt>
                <c:pt idx="10">
                  <c:v>125.664</c:v>
                </c:pt>
                <c:pt idx="11">
                  <c:v>144.50800000000001</c:v>
                </c:pt>
                <c:pt idx="12">
                  <c:v>162.88300000000001</c:v>
                </c:pt>
                <c:pt idx="13">
                  <c:v>152.501</c:v>
                </c:pt>
                <c:pt idx="14">
                  <c:v>151.22300000000001</c:v>
                </c:pt>
                <c:pt idx="15">
                  <c:v>146.87200000000001</c:v>
                </c:pt>
                <c:pt idx="16">
                  <c:v>133.66399999999999</c:v>
                </c:pt>
                <c:pt idx="17">
                  <c:v>142.70500000000001</c:v>
                </c:pt>
                <c:pt idx="18">
                  <c:v>164.08099999999999</c:v>
                </c:pt>
                <c:pt idx="19">
                  <c:v>172.21100000000001</c:v>
                </c:pt>
              </c:numCache>
            </c:numRef>
          </c:val>
          <c:smooth val="0"/>
          <c:extLst>
            <c:ext xmlns:c16="http://schemas.microsoft.com/office/drawing/2014/chart" uri="{C3380CC4-5D6E-409C-BE32-E72D297353CC}">
              <c16:uniqueId val="{00000000-2FAC-4D0D-806B-E43B32911B18}"/>
            </c:ext>
          </c:extLst>
        </c:ser>
        <c:ser>
          <c:idx val="1"/>
          <c:order val="1"/>
          <c:tx>
            <c:strRef>
              <c:f>'2. Trade in Goods'!$D$307</c:f>
              <c:strCache>
                <c:ptCount val="1"/>
                <c:pt idx="0">
                  <c:v>US Exports to EU</c:v>
                </c:pt>
              </c:strCache>
            </c:strRef>
          </c:tx>
          <c:spPr>
            <a:ln w="28575" cap="rnd">
              <a:solidFill>
                <a:srgbClr val="990000"/>
              </a:solidFill>
              <a:round/>
            </a:ln>
            <a:effectLst/>
          </c:spPr>
          <c:marker>
            <c:symbol val="none"/>
          </c:marker>
          <c:cat>
            <c:strRef>
              <c:f>'2. Trade in Goods'!$F$305:$Y$305</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Goods'!$F$307:$Y$307</c:f>
              <c:numCache>
                <c:formatCode>0.00</c:formatCode>
                <c:ptCount val="20"/>
                <c:pt idx="0">
                  <c:v>95.673671199011125</c:v>
                </c:pt>
                <c:pt idx="1">
                  <c:v>111.02310231023102</c:v>
                </c:pt>
                <c:pt idx="2">
                  <c:v>112.43055555555556</c:v>
                </c:pt>
                <c:pt idx="3">
                  <c:v>97.733333333333334</c:v>
                </c:pt>
                <c:pt idx="4">
                  <c:v>95.229357798165125</c:v>
                </c:pt>
                <c:pt idx="5">
                  <c:v>93.398799781778507</c:v>
                </c:pt>
                <c:pt idx="6">
                  <c:v>101.75824175824175</c:v>
                </c:pt>
                <c:pt idx="7">
                  <c:v>114.97558328811721</c:v>
                </c:pt>
                <c:pt idx="8">
                  <c:v>121.97802197802199</c:v>
                </c:pt>
                <c:pt idx="9">
                  <c:v>146.52291105121296</c:v>
                </c:pt>
                <c:pt idx="10">
                  <c:v>140.95846645367413</c:v>
                </c:pt>
                <c:pt idx="11">
                  <c:v>154.98059508408795</c:v>
                </c:pt>
                <c:pt idx="12">
                  <c:v>167.76807980049875</c:v>
                </c:pt>
                <c:pt idx="13">
                  <c:v>167.44479495268138</c:v>
                </c:pt>
                <c:pt idx="14">
                  <c:v>167.47603833865816</c:v>
                </c:pt>
                <c:pt idx="15">
                  <c:v>167.65776699029126</c:v>
                </c:pt>
                <c:pt idx="16">
                  <c:v>177.8286461739699</c:v>
                </c:pt>
                <c:pt idx="17">
                  <c:v>198.74631268436576</c:v>
                </c:pt>
                <c:pt idx="18">
                  <c:v>219.78277734678048</c:v>
                </c:pt>
                <c:pt idx="19">
                  <c:v>239.54887218045113</c:v>
                </c:pt>
              </c:numCache>
            </c:numRef>
          </c:val>
          <c:smooth val="0"/>
          <c:extLst>
            <c:ext xmlns:c16="http://schemas.microsoft.com/office/drawing/2014/chart" uri="{C3380CC4-5D6E-409C-BE32-E72D297353CC}">
              <c16:uniqueId val="{00000001-2FAC-4D0D-806B-E43B32911B18}"/>
            </c:ext>
          </c:extLst>
        </c:ser>
        <c:dLbls>
          <c:showLegendKey val="0"/>
          <c:showVal val="0"/>
          <c:showCatName val="0"/>
          <c:showSerName val="0"/>
          <c:showPercent val="0"/>
          <c:showBubbleSize val="0"/>
        </c:dLbls>
        <c:smooth val="0"/>
        <c:axId val="818235600"/>
        <c:axId val="818233960"/>
      </c:lineChart>
      <c:catAx>
        <c:axId val="81823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818233960"/>
        <c:crosses val="autoZero"/>
        <c:auto val="1"/>
        <c:lblAlgn val="ctr"/>
        <c:lblOffset val="100"/>
        <c:tickMarkSkip val="2"/>
        <c:noMultiLvlLbl val="0"/>
      </c:catAx>
      <c:valAx>
        <c:axId val="818233960"/>
        <c:scaling>
          <c:orientation val="minMax"/>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r>
                  <a:rPr lang="en-AU">
                    <a:solidFill>
                      <a:schemeClr val="tx1">
                        <a:lumMod val="75000"/>
                        <a:lumOff val="25000"/>
                      </a:schemeClr>
                    </a:solidFill>
                    <a:latin typeface="Calibri" panose="020F0502020204030204" pitchFamily="34" charset="0"/>
                    <a:cs typeface="Calibri" panose="020F0502020204030204" pitchFamily="34" charset="0"/>
                  </a:rPr>
                  <a:t>£ billion in currenct exchange</a:t>
                </a:r>
                <a:r>
                  <a:rPr lang="en-AU" baseline="0">
                    <a:solidFill>
                      <a:schemeClr val="tx1">
                        <a:lumMod val="75000"/>
                        <a:lumOff val="25000"/>
                      </a:schemeClr>
                    </a:solidFill>
                    <a:latin typeface="Calibri" panose="020F0502020204030204" pitchFamily="34" charset="0"/>
                    <a:cs typeface="Calibri" panose="020F0502020204030204" pitchFamily="34" charset="0"/>
                  </a:rPr>
                  <a:t> rates</a:t>
                </a:r>
                <a:endParaRPr lang="en-AU">
                  <a:solidFill>
                    <a:schemeClr val="tx1">
                      <a:lumMod val="75000"/>
                      <a:lumOff val="25000"/>
                    </a:schemeClr>
                  </a:solidFill>
                </a:endParaRPr>
              </a:p>
            </c:rich>
          </c:tx>
          <c:layout>
            <c:manualLayout>
              <c:xMode val="edge"/>
              <c:yMode val="edge"/>
              <c:x val="1.6119399196286473E-2"/>
              <c:y val="0.14791666666666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818235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 non-EU trade in goods: 1999 – 2018</a:t>
            </a:r>
          </a:p>
        </c:rich>
      </c:tx>
      <c:overlay val="0"/>
      <c:spPr>
        <a:noFill/>
        <a:ln>
          <a:noFill/>
        </a:ln>
        <a:effectLst/>
      </c:spPr>
      <c:txPr>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'2. Trade in Goods'!$A$143</c:f>
              <c:strCache>
                <c:ptCount val="1"/>
                <c:pt idx="0">
                  <c:v>Total goods exports to Non-EU </c:v>
                </c:pt>
              </c:strCache>
            </c:strRef>
          </c:tx>
          <c:spPr>
            <a:solidFill>
              <a:srgbClr val="800000"/>
            </a:solidFill>
            <a:ln>
              <a:solidFill>
                <a:srgbClr val="990000"/>
              </a:solidFill>
            </a:ln>
            <a:effectLst/>
          </c:spPr>
          <c:invertIfNegative val="0"/>
          <c:cat>
            <c:strRef>
              <c:f>'2. Trade in Goods'!$C$142:$V$142</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Goods'!$C$143:$V$143</c:f>
              <c:numCache>
                <c:formatCode>0.000</c:formatCode>
                <c:ptCount val="20"/>
                <c:pt idx="0">
                  <c:v>88.183288409703508</c:v>
                </c:pt>
                <c:pt idx="1">
                  <c:v>100.16578947368421</c:v>
                </c:pt>
                <c:pt idx="2">
                  <c:v>98.813071895424827</c:v>
                </c:pt>
                <c:pt idx="3">
                  <c:v>95.745358090185661</c:v>
                </c:pt>
                <c:pt idx="4">
                  <c:v>100.61488250652742</c:v>
                </c:pt>
                <c:pt idx="5">
                  <c:v>104.45921052631579</c:v>
                </c:pt>
                <c:pt idx="6">
                  <c:v>115.56870229007635</c:v>
                </c:pt>
                <c:pt idx="7">
                  <c:v>114.07240948813984</c:v>
                </c:pt>
                <c:pt idx="8">
                  <c:v>119.12626262626262</c:v>
                </c:pt>
                <c:pt idx="9">
                  <c:v>126.41542002301495</c:v>
                </c:pt>
                <c:pt idx="10">
                  <c:v>112.74944567627495</c:v>
                </c:pt>
                <c:pt idx="11">
                  <c:v>129.11380400421496</c:v>
                </c:pt>
                <c:pt idx="12">
                  <c:v>141.20340681362725</c:v>
                </c:pt>
                <c:pt idx="13">
                  <c:v>147.92245720040282</c:v>
                </c:pt>
                <c:pt idx="14">
                  <c:v>146.96256157635469</c:v>
                </c:pt>
                <c:pt idx="15">
                  <c:v>148.32048681541582</c:v>
                </c:pt>
                <c:pt idx="16">
                  <c:v>162.34146341463415</c:v>
                </c:pt>
                <c:pt idx="17">
                  <c:v>156.36799999999999</c:v>
                </c:pt>
                <c:pt idx="18">
                  <c:v>166.34095238095236</c:v>
                </c:pt>
                <c:pt idx="19">
                  <c:v>165.6824512534819</c:v>
                </c:pt>
              </c:numCache>
            </c:numRef>
          </c:val>
          <c:extLst>
            <c:ext xmlns:c16="http://schemas.microsoft.com/office/drawing/2014/chart" uri="{C3380CC4-5D6E-409C-BE32-E72D297353CC}">
              <c16:uniqueId val="{00000000-1637-4194-B8AE-F665ECBA005A}"/>
            </c:ext>
          </c:extLst>
        </c:ser>
        <c:ser>
          <c:idx val="1"/>
          <c:order val="1"/>
          <c:tx>
            <c:strRef>
              <c:f>'2. Trade in Goods'!$A$144</c:f>
              <c:strCache>
                <c:ptCount val="1"/>
                <c:pt idx="0">
                  <c:v>Total goods imports from Non-EU</c:v>
                </c:pt>
              </c:strCache>
            </c:strRef>
          </c:tx>
          <c:spPr>
            <a:solidFill>
              <a:srgbClr val="002060"/>
            </a:solidFill>
            <a:ln>
              <a:noFill/>
            </a:ln>
            <a:effectLst/>
          </c:spPr>
          <c:invertIfNegative val="0"/>
          <c:cat>
            <c:strRef>
              <c:f>'2. Trade in Goods'!$C$142:$V$142</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Goods'!$C$144:$V$144</c:f>
              <c:numCache>
                <c:formatCode>0.000</c:formatCode>
                <c:ptCount val="20"/>
                <c:pt idx="0">
                  <c:v>108.00000000000001</c:v>
                </c:pt>
                <c:pt idx="1">
                  <c:v>128.70379436964504</c:v>
                </c:pt>
                <c:pt idx="2">
                  <c:v>128.77205882352942</c:v>
                </c:pt>
                <c:pt idx="3">
                  <c:v>122.9609079445145</c:v>
                </c:pt>
                <c:pt idx="4">
                  <c:v>126.2191435768262</c:v>
                </c:pt>
                <c:pt idx="5">
                  <c:v>138.80459770114945</c:v>
                </c:pt>
                <c:pt idx="6">
                  <c:v>151.61234567901232</c:v>
                </c:pt>
                <c:pt idx="7">
                  <c:v>164.91095066185321</c:v>
                </c:pt>
                <c:pt idx="8">
                  <c:v>167.96650717703349</c:v>
                </c:pt>
                <c:pt idx="9">
                  <c:v>171.59744408945684</c:v>
                </c:pt>
                <c:pt idx="10">
                  <c:v>153.90501043841337</c:v>
                </c:pt>
                <c:pt idx="11">
                  <c:v>175.97681451612902</c:v>
                </c:pt>
                <c:pt idx="12">
                  <c:v>183.20640904806788</c:v>
                </c:pt>
                <c:pt idx="13">
                  <c:v>187.3599240265907</c:v>
                </c:pt>
                <c:pt idx="14">
                  <c:v>188.73565380997178</c:v>
                </c:pt>
                <c:pt idx="15">
                  <c:v>187.42296368989204</c:v>
                </c:pt>
                <c:pt idx="16">
                  <c:v>191.70833333333334</c:v>
                </c:pt>
                <c:pt idx="17">
                  <c:v>194.65799999999999</c:v>
                </c:pt>
                <c:pt idx="18">
                  <c:v>205.85104364326375</c:v>
                </c:pt>
                <c:pt idx="19">
                  <c:v>205.41528545119706</c:v>
                </c:pt>
              </c:numCache>
            </c:numRef>
          </c:val>
          <c:extLst>
            <c:ext xmlns:c16="http://schemas.microsoft.com/office/drawing/2014/chart" uri="{C3380CC4-5D6E-409C-BE32-E72D297353CC}">
              <c16:uniqueId val="{00000001-1637-4194-B8AE-F665ECBA005A}"/>
            </c:ext>
          </c:extLst>
        </c:ser>
        <c:ser>
          <c:idx val="2"/>
          <c:order val="2"/>
          <c:tx>
            <c:strRef>
              <c:f>'2. Trade in Goods'!$A$145</c:f>
              <c:strCache>
                <c:ptCount val="1"/>
                <c:pt idx="0">
                  <c:v>Balance</c:v>
                </c:pt>
              </c:strCache>
            </c:strRef>
          </c:tx>
          <c:spPr>
            <a:solidFill>
              <a:schemeClr val="accent3"/>
            </a:solidFill>
            <a:ln>
              <a:solidFill>
                <a:schemeClr val="bg2">
                  <a:lumMod val="25000"/>
                </a:schemeClr>
              </a:solidFill>
            </a:ln>
            <a:effectLst/>
          </c:spPr>
          <c:invertIfNegative val="0"/>
          <c:cat>
            <c:strRef>
              <c:f>'2. Trade in Goods'!$C$142:$V$142</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Goods'!$C$145:$V$145</c:f>
              <c:numCache>
                <c:formatCode>0.00</c:formatCode>
                <c:ptCount val="20"/>
                <c:pt idx="0">
                  <c:v>-19.816711590296507</c:v>
                </c:pt>
                <c:pt idx="1">
                  <c:v>-28.538004895960825</c:v>
                </c:pt>
                <c:pt idx="2">
                  <c:v>-29.958986928104594</c:v>
                </c:pt>
                <c:pt idx="3">
                  <c:v>-27.215549854328842</c:v>
                </c:pt>
                <c:pt idx="4">
                  <c:v>-25.604261070298776</c:v>
                </c:pt>
                <c:pt idx="5">
                  <c:v>-34.345387174833661</c:v>
                </c:pt>
                <c:pt idx="6">
                  <c:v>-36.043643388935976</c:v>
                </c:pt>
                <c:pt idx="7">
                  <c:v>-50.838541173713367</c:v>
                </c:pt>
                <c:pt idx="8">
                  <c:v>-48.840244550770876</c:v>
                </c:pt>
                <c:pt idx="9">
                  <c:v>-45.182024066441898</c:v>
                </c:pt>
                <c:pt idx="10">
                  <c:v>-41.155564762138425</c:v>
                </c:pt>
                <c:pt idx="11">
                  <c:v>-46.863010511914069</c:v>
                </c:pt>
                <c:pt idx="12">
                  <c:v>-42.003002234440629</c:v>
                </c:pt>
                <c:pt idx="13">
                  <c:v>-39.437466826187887</c:v>
                </c:pt>
                <c:pt idx="14">
                  <c:v>-41.773092233617092</c:v>
                </c:pt>
                <c:pt idx="15">
                  <c:v>-39.102476874476224</c:v>
                </c:pt>
                <c:pt idx="16">
                  <c:v>-29.366869918699194</c:v>
                </c:pt>
                <c:pt idx="17">
                  <c:v>-38.289999999999992</c:v>
                </c:pt>
                <c:pt idx="18" formatCode="_-[$£-809]* #,##0.00_-;\-[$£-809]* #,##0.00_-;_-[$£-809]* &quot;-&quot;??_-;_-@_-">
                  <c:v>-39.510091262311391</c:v>
                </c:pt>
                <c:pt idx="19">
                  <c:v>-39.732834197715164</c:v>
                </c:pt>
              </c:numCache>
            </c:numRef>
          </c:val>
          <c:extLst>
            <c:ext xmlns:c16="http://schemas.microsoft.com/office/drawing/2014/chart" uri="{C3380CC4-5D6E-409C-BE32-E72D297353CC}">
              <c16:uniqueId val="{00000002-1637-4194-B8AE-F665ECBA005A}"/>
            </c:ext>
          </c:extLst>
        </c:ser>
        <c:dLbls>
          <c:showLegendKey val="0"/>
          <c:showVal val="0"/>
          <c:showCatName val="0"/>
          <c:showSerName val="0"/>
          <c:showPercent val="0"/>
          <c:showBubbleSize val="0"/>
        </c:dLbls>
        <c:gapWidth val="219"/>
        <c:overlap val="-27"/>
        <c:axId val="516911408"/>
        <c:axId val="516909768"/>
      </c:barChart>
      <c:catAx>
        <c:axId val="51691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16909768"/>
        <c:crosses val="autoZero"/>
        <c:auto val="1"/>
        <c:lblAlgn val="ctr"/>
        <c:lblOffset val="700"/>
        <c:noMultiLvlLbl val="0"/>
      </c:catAx>
      <c:valAx>
        <c:axId val="516909768"/>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911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AU" sz="1400" b="1" i="0" u="none" strike="noStrike" kern="1200" spc="0" baseline="0">
                <a:solidFill>
                  <a:schemeClr val="tx1">
                    <a:lumMod val="75000"/>
                    <a:lumOff val="25000"/>
                  </a:schemeClr>
                </a:solidFill>
                <a:latin typeface="+mn-lt"/>
                <a:ea typeface="+mn-ea"/>
                <a:cs typeface="+mn-cs"/>
              </a:defRPr>
            </a:pPr>
            <a:r>
              <a:rPr lang="en-AU" sz="1400" b="1" i="0" u="none" strike="noStrike" kern="1200" spc="0" baseline="0">
                <a:solidFill>
                  <a:schemeClr val="tx1">
                    <a:lumMod val="75000"/>
                    <a:lumOff val="25000"/>
                  </a:schemeClr>
                </a:solidFill>
                <a:latin typeface="+mn-lt"/>
                <a:ea typeface="+mn-ea"/>
                <a:cs typeface="+mn-cs"/>
              </a:rPr>
              <a:t>Change in EU's share of UK trade in goods</a:t>
            </a:r>
          </a:p>
        </c:rich>
      </c:tx>
      <c:overlay val="0"/>
      <c:spPr>
        <a:noFill/>
        <a:ln>
          <a:noFill/>
        </a:ln>
        <a:effectLst/>
      </c:spPr>
      <c:txPr>
        <a:bodyPr rot="0" spcFirstLastPara="1" vertOverflow="ellipsis" vert="horz" wrap="square" anchor="ctr" anchorCtr="1"/>
        <a:lstStyle/>
        <a:p>
          <a:pPr algn="ctr" rtl="0">
            <a:defRPr lang="en-AU"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8.0346603870777841E-2"/>
          <c:y val="0.13588235294117648"/>
          <c:w val="0.89395246154978292"/>
          <c:h val="0.63092584015233388"/>
        </c:manualLayout>
      </c:layout>
      <c:barChart>
        <c:barDir val="col"/>
        <c:grouping val="clustered"/>
        <c:varyColors val="0"/>
        <c:ser>
          <c:idx val="0"/>
          <c:order val="0"/>
          <c:tx>
            <c:strRef>
              <c:f>'2. Trade in Goods'!$B$84</c:f>
              <c:strCache>
                <c:ptCount val="1"/>
                <c:pt idx="0">
                  <c:v>1998</c:v>
                </c:pt>
              </c:strCache>
            </c:strRef>
          </c:tx>
          <c:spPr>
            <a:solidFill>
              <a:srgbClr val="990000"/>
            </a:solidFill>
            <a:ln w="6350">
              <a:solidFill>
                <a:srgbClr val="990000"/>
              </a:solidFill>
            </a:ln>
            <a:effectLst/>
          </c:spPr>
          <c:invertIfNegative val="0"/>
          <c:dPt>
            <c:idx val="0"/>
            <c:invertIfNegative val="0"/>
            <c:bubble3D val="0"/>
            <c:spPr>
              <a:solidFill>
                <a:srgbClr val="990000"/>
              </a:solidFill>
              <a:ln w="6350">
                <a:solidFill>
                  <a:srgbClr val="990000"/>
                </a:solidFill>
              </a:ln>
              <a:effectLst/>
            </c:spPr>
            <c:extLst>
              <c:ext xmlns:c16="http://schemas.microsoft.com/office/drawing/2014/chart" uri="{C3380CC4-5D6E-409C-BE32-E72D297353CC}">
                <c16:uniqueId val="{00000001-26AA-4317-8856-BD92C496FA72}"/>
              </c:ext>
            </c:extLst>
          </c:dPt>
          <c:dLbls>
            <c:spPr>
              <a:noFill/>
              <a:ln>
                <a:noFill/>
              </a:ln>
              <a:effectLst/>
            </c:spPr>
            <c:txPr>
              <a:bodyPr rot="0" spcFirstLastPara="1" vertOverflow="ellipsis" vert="horz" wrap="square" anchor="ctr" anchorCtr="0"/>
              <a:lstStyle/>
              <a:p>
                <a:pPr algn="ctr">
                  <a:defRPr lang="en-AU"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Goods'!$A$85:$A$86</c:f>
              <c:strCache>
                <c:ptCount val="2"/>
                <c:pt idx="0">
                  <c:v>Exports</c:v>
                </c:pt>
                <c:pt idx="1">
                  <c:v>Imports</c:v>
                </c:pt>
              </c:strCache>
            </c:strRef>
          </c:cat>
          <c:val>
            <c:numRef>
              <c:f>'2. Trade in Goods'!$B$85:$B$86</c:f>
              <c:numCache>
                <c:formatCode>0.0%</c:formatCode>
                <c:ptCount val="2"/>
                <c:pt idx="0">
                  <c:v>0.60254985653397264</c:v>
                </c:pt>
                <c:pt idx="1">
                  <c:v>0.54623251445197463</c:v>
                </c:pt>
              </c:numCache>
            </c:numRef>
          </c:val>
          <c:extLst>
            <c:ext xmlns:c16="http://schemas.microsoft.com/office/drawing/2014/chart" uri="{C3380CC4-5D6E-409C-BE32-E72D297353CC}">
              <c16:uniqueId val="{00000002-26AA-4317-8856-BD92C496FA72}"/>
            </c:ext>
          </c:extLst>
        </c:ser>
        <c:ser>
          <c:idx val="1"/>
          <c:order val="1"/>
          <c:tx>
            <c:strRef>
              <c:f>'2. Trade in Goods'!$C$84</c:f>
              <c:strCache>
                <c:ptCount val="1"/>
                <c:pt idx="0">
                  <c:v>2018</c:v>
                </c:pt>
              </c:strCache>
            </c:strRef>
          </c:tx>
          <c:spPr>
            <a:solidFill>
              <a:srgbClr val="002060"/>
            </a:solidFill>
            <a:ln w="9525">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Goods'!$A$85:$A$86</c:f>
              <c:strCache>
                <c:ptCount val="2"/>
                <c:pt idx="0">
                  <c:v>Exports</c:v>
                </c:pt>
                <c:pt idx="1">
                  <c:v>Imports</c:v>
                </c:pt>
              </c:strCache>
            </c:strRef>
          </c:cat>
          <c:val>
            <c:numRef>
              <c:f>'2. Trade in Goods'!$C$85:$C$86</c:f>
              <c:numCache>
                <c:formatCode>0.0%</c:formatCode>
                <c:ptCount val="2"/>
                <c:pt idx="0">
                  <c:v>0.48441826747735051</c:v>
                </c:pt>
                <c:pt idx="1">
                  <c:v>0.54549903074723272</c:v>
                </c:pt>
              </c:numCache>
            </c:numRef>
          </c:val>
          <c:extLst>
            <c:ext xmlns:c16="http://schemas.microsoft.com/office/drawing/2014/chart" uri="{C3380CC4-5D6E-409C-BE32-E72D297353CC}">
              <c16:uniqueId val="{00000003-26AA-4317-8856-BD92C496FA72}"/>
            </c:ext>
          </c:extLst>
        </c:ser>
        <c:dLbls>
          <c:dLblPos val="inEnd"/>
          <c:showLegendKey val="0"/>
          <c:showVal val="1"/>
          <c:showCatName val="0"/>
          <c:showSerName val="0"/>
          <c:showPercent val="0"/>
          <c:showBubbleSize val="0"/>
        </c:dLbls>
        <c:gapWidth val="219"/>
        <c:overlap val="-27"/>
        <c:axId val="608408488"/>
        <c:axId val="608408816"/>
      </c:barChart>
      <c:catAx>
        <c:axId val="608408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608408816"/>
        <c:crosses val="autoZero"/>
        <c:auto val="1"/>
        <c:lblAlgn val="ctr"/>
        <c:lblOffset val="100"/>
        <c:noMultiLvlLbl val="0"/>
      </c:catAx>
      <c:valAx>
        <c:axId val="608408816"/>
        <c:scaling>
          <c:orientation val="minMax"/>
          <c:max val="0.7500000000000001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08408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50"/>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AU" b="1">
                <a:solidFill>
                  <a:schemeClr val="tx1">
                    <a:lumMod val="75000"/>
                    <a:lumOff val="25000"/>
                  </a:schemeClr>
                </a:solidFill>
              </a:rPr>
              <a:t>Proportion of manufacturing</a:t>
            </a:r>
            <a:r>
              <a:rPr lang="en-AU" b="1" baseline="0">
                <a:solidFill>
                  <a:schemeClr val="tx1">
                    <a:lumMod val="75000"/>
                    <a:lumOff val="25000"/>
                  </a:schemeClr>
                </a:solidFill>
              </a:rPr>
              <a:t> in UK goods exports: 1999 - 2018</a:t>
            </a:r>
          </a:p>
          <a:p>
            <a:pPr>
              <a:defRPr b="1">
                <a:solidFill>
                  <a:schemeClr val="tx1">
                    <a:lumMod val="75000"/>
                    <a:lumOff val="25000"/>
                  </a:schemeClr>
                </a:solidFill>
              </a:defRPr>
            </a:pPr>
            <a:endParaRPr lang="en-AU" b="1">
              <a:solidFill>
                <a:schemeClr val="tx1">
                  <a:lumMod val="75000"/>
                  <a:lumOff val="25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0.1874031484190791"/>
          <c:y val="0.17402777777777778"/>
          <c:w val="0.7851019476398885"/>
          <c:h val="0.59104913969087192"/>
        </c:manualLayout>
      </c:layout>
      <c:barChart>
        <c:barDir val="col"/>
        <c:grouping val="stacked"/>
        <c:varyColors val="0"/>
        <c:ser>
          <c:idx val="0"/>
          <c:order val="0"/>
          <c:tx>
            <c:strRef>
              <c:f>'2. Trade in Goods'!$A$36</c:f>
              <c:strCache>
                <c:ptCount val="1"/>
                <c:pt idx="0">
                  <c:v>Manufactured products</c:v>
                </c:pt>
              </c:strCache>
            </c:strRef>
          </c:tx>
          <c:spPr>
            <a:solidFill>
              <a:srgbClr val="002060"/>
            </a:solidFill>
            <a:ln>
              <a:solidFill>
                <a:schemeClr val="tx1"/>
              </a:solidFill>
            </a:ln>
            <a:effectLst/>
          </c:spPr>
          <c:invertIfNegative val="0"/>
          <c:dLbls>
            <c:dLbl>
              <c:idx val="0"/>
              <c:tx>
                <c:rich>
                  <a:bodyPr/>
                  <a:lstStyle/>
                  <a:p>
                    <a:r>
                      <a:rPr lang="en-US"/>
                      <a:t>91.6%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9D-4DC1-944E-ABCC8AE62557}"/>
                </c:ext>
              </c:extLst>
            </c:dLbl>
            <c:dLbl>
              <c:idx val="1"/>
              <c:tx>
                <c:rich>
                  <a:bodyPr/>
                  <a:lstStyle/>
                  <a:p>
                    <a:r>
                      <a:rPr lang="en-US"/>
                      <a:t>88.1%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9D-4DC1-944E-ABCC8AE6255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 Trade in Goods'!$B$35:$D$35</c15:sqref>
                  </c15:fullRef>
                </c:ext>
              </c:extLst>
              <c:f>'2. Trade in Goods'!$B$35:$C$35</c:f>
              <c:strCache>
                <c:ptCount val="2"/>
                <c:pt idx="0">
                  <c:v>1999</c:v>
                </c:pt>
                <c:pt idx="1">
                  <c:v>2018</c:v>
                </c:pt>
              </c:strCache>
            </c:strRef>
          </c:cat>
          <c:val>
            <c:numRef>
              <c:extLst>
                <c:ext xmlns:c15="http://schemas.microsoft.com/office/drawing/2012/chart" uri="{02D57815-91ED-43cb-92C2-25804820EDAC}">
                  <c15:fullRef>
                    <c15:sqref>'2. Trade in Goods'!$B$36:$D$36</c15:sqref>
                  </c15:fullRef>
                </c:ext>
              </c:extLst>
              <c:f>'2. Trade in Goods'!$B$36:$C$36</c:f>
              <c:numCache>
                <c:formatCode>0.0</c:formatCode>
                <c:ptCount val="2"/>
                <c:pt idx="0">
                  <c:v>151.34899999999999</c:v>
                </c:pt>
                <c:pt idx="1">
                  <c:v>308.89999999999998</c:v>
                </c:pt>
              </c:numCache>
            </c:numRef>
          </c:val>
          <c:extLst>
            <c:ext xmlns:c16="http://schemas.microsoft.com/office/drawing/2014/chart" uri="{C3380CC4-5D6E-409C-BE32-E72D297353CC}">
              <c16:uniqueId val="{00000002-C49D-4DC1-944E-ABCC8AE62557}"/>
            </c:ext>
          </c:extLst>
        </c:ser>
        <c:ser>
          <c:idx val="1"/>
          <c:order val="1"/>
          <c:tx>
            <c:strRef>
              <c:f>'2. Trade in Goods'!$A$37</c:f>
              <c:strCache>
                <c:ptCount val="1"/>
                <c:pt idx="0">
                  <c:v>Non-Manufactured poducts</c:v>
                </c:pt>
              </c:strCache>
            </c:strRef>
          </c:tx>
          <c:spPr>
            <a:solidFill>
              <a:srgbClr val="C00000"/>
            </a:solidFill>
            <a:ln>
              <a:solidFill>
                <a:srgbClr val="990000"/>
              </a:solidFill>
            </a:ln>
            <a:effectLst/>
          </c:spPr>
          <c:invertIfNegative val="0"/>
          <c:cat>
            <c:strRef>
              <c:extLst>
                <c:ext xmlns:c15="http://schemas.microsoft.com/office/drawing/2012/chart" uri="{02D57815-91ED-43cb-92C2-25804820EDAC}">
                  <c15:fullRef>
                    <c15:sqref>'2. Trade in Goods'!$B$35:$D$35</c15:sqref>
                  </c15:fullRef>
                </c:ext>
              </c:extLst>
              <c:f>'2. Trade in Goods'!$B$35:$C$35</c:f>
              <c:strCache>
                <c:ptCount val="2"/>
                <c:pt idx="0">
                  <c:v>1999</c:v>
                </c:pt>
                <c:pt idx="1">
                  <c:v>2018</c:v>
                </c:pt>
              </c:strCache>
            </c:strRef>
          </c:cat>
          <c:val>
            <c:numRef>
              <c:extLst>
                <c:ext xmlns:c15="http://schemas.microsoft.com/office/drawing/2012/chart" uri="{02D57815-91ED-43cb-92C2-25804820EDAC}">
                  <c15:fullRef>
                    <c15:sqref>'2. Trade in Goods'!$B$37:$D$37</c15:sqref>
                  </c15:fullRef>
                </c:ext>
              </c:extLst>
              <c:f>'2. Trade in Goods'!$B$37:$C$37</c:f>
              <c:numCache>
                <c:formatCode>0.0</c:formatCode>
                <c:ptCount val="2"/>
                <c:pt idx="0">
                  <c:v>16.403999999999996</c:v>
                </c:pt>
                <c:pt idx="1">
                  <c:v>41.655999999999999</c:v>
                </c:pt>
              </c:numCache>
            </c:numRef>
          </c:val>
          <c:extLst>
            <c:ext xmlns:c16="http://schemas.microsoft.com/office/drawing/2014/chart" uri="{C3380CC4-5D6E-409C-BE32-E72D297353CC}">
              <c16:uniqueId val="{00000003-C49D-4DC1-944E-ABCC8AE62557}"/>
            </c:ext>
          </c:extLst>
        </c:ser>
        <c:dLbls>
          <c:showLegendKey val="0"/>
          <c:showVal val="0"/>
          <c:showCatName val="0"/>
          <c:showSerName val="0"/>
          <c:showPercent val="0"/>
          <c:showBubbleSize val="0"/>
        </c:dLbls>
        <c:gapWidth val="219"/>
        <c:overlap val="100"/>
        <c:axId val="696412112"/>
        <c:axId val="696412440"/>
      </c:barChart>
      <c:catAx>
        <c:axId val="69641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crossAx val="696412440"/>
        <c:crosses val="autoZero"/>
        <c:auto val="1"/>
        <c:lblAlgn val="ctr"/>
        <c:lblOffset val="100"/>
        <c:noMultiLvlLbl val="0"/>
      </c:catAx>
      <c:valAx>
        <c:axId val="696412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r>
                  <a:rPr lang="en-AU" sz="1050" b="1">
                    <a:solidFill>
                      <a:schemeClr val="tx1">
                        <a:lumMod val="85000"/>
                        <a:lumOff val="15000"/>
                      </a:schemeClr>
                    </a:solidFill>
                    <a:latin typeface="Calibri" panose="020F0502020204030204" pitchFamily="34" charset="0"/>
                    <a:cs typeface="Calibri" panose="020F0502020204030204" pitchFamily="34" charset="0"/>
                  </a:rPr>
                  <a:t>£</a:t>
                </a:r>
                <a:r>
                  <a:rPr lang="en-AU" sz="1050" b="1" baseline="0">
                    <a:solidFill>
                      <a:schemeClr val="tx1">
                        <a:lumMod val="85000"/>
                        <a:lumOff val="15000"/>
                      </a:schemeClr>
                    </a:solidFill>
                    <a:latin typeface="Calibri" panose="020F0502020204030204" pitchFamily="34" charset="0"/>
                    <a:cs typeface="Calibri" panose="020F0502020204030204" pitchFamily="34" charset="0"/>
                  </a:rPr>
                  <a:t> billion</a:t>
                </a:r>
                <a:endParaRPr lang="en-AU" sz="1050" b="1">
                  <a:solidFill>
                    <a:schemeClr val="tx1">
                      <a:lumMod val="85000"/>
                      <a:lumOff val="15000"/>
                    </a:schemeClr>
                  </a:solidFill>
                </a:endParaRPr>
              </a:p>
            </c:rich>
          </c:tx>
          <c:layout>
            <c:manualLayout>
              <c:xMode val="edge"/>
              <c:yMode val="edge"/>
              <c:x val="1.5991469872952181E-2"/>
              <c:y val="0.40897090988626422"/>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696412112"/>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UK Goods</a:t>
            </a:r>
            <a:r>
              <a:rPr lang="en-AU" b="1" baseline="0"/>
              <a:t> Exports (</a:t>
            </a:r>
            <a:r>
              <a:rPr lang="en-AU" b="1" baseline="0">
                <a:latin typeface="Calibri" panose="020F0502020204030204" pitchFamily="34" charset="0"/>
                <a:cs typeface="Calibri" panose="020F0502020204030204" pitchFamily="34" charset="0"/>
              </a:rPr>
              <a:t>£bn)</a:t>
            </a:r>
            <a:r>
              <a:rPr lang="en-AU" b="1"/>
              <a:t>:</a:t>
            </a:r>
            <a:r>
              <a:rPr lang="en-AU" b="1" baseline="0"/>
              <a:t> 2016</a:t>
            </a:r>
            <a:endParaRPr lang="en-AU" b="1"/>
          </a:p>
        </c:rich>
      </c:tx>
      <c:layout>
        <c:manualLayout>
          <c:xMode val="edge"/>
          <c:yMode val="edge"/>
          <c:x val="0.31701932552461232"/>
          <c:y val="5.452612366820196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40443036384538E-2"/>
          <c:y val="0.11879106328960058"/>
          <c:w val="0.85947964673707122"/>
          <c:h val="0.42409824155541392"/>
        </c:manualLayout>
      </c:layout>
      <c:barChart>
        <c:barDir val="bar"/>
        <c:grouping val="stacked"/>
        <c:varyColors val="0"/>
        <c:ser>
          <c:idx val="0"/>
          <c:order val="0"/>
          <c:tx>
            <c:strRef>
              <c:f>'2. Trade in Goods'!$A$11</c:f>
              <c:strCache>
                <c:ptCount val="1"/>
                <c:pt idx="0">
                  <c:v>Motor vehicles</c:v>
                </c:pt>
              </c:strCache>
            </c:strRef>
          </c:tx>
          <c:spPr>
            <a:solidFill>
              <a:schemeClr val="accent1">
                <a:lumMod val="50000"/>
              </a:schemeClr>
            </a:solidFill>
            <a:ln w="12700">
              <a:solidFill>
                <a:schemeClr val="tx1">
                  <a:lumMod val="95000"/>
                  <a:lumOff val="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Goods'!$B$11:$C$11</c:f>
              <c:numCache>
                <c:formatCode>_-[$£-809]* #,##0.0_-;\-[$£-809]* #,##0.0_-;_-[$£-809]* "-"??_-;_-@_-</c:formatCode>
                <c:ptCount val="2"/>
                <c:pt idx="0">
                  <c:v>18.52</c:v>
                </c:pt>
                <c:pt idx="1">
                  <c:v>25.84</c:v>
                </c:pt>
              </c:numCache>
            </c:numRef>
          </c:val>
          <c:extLst>
            <c:ext xmlns:c16="http://schemas.microsoft.com/office/drawing/2014/chart" uri="{C3380CC4-5D6E-409C-BE32-E72D297353CC}">
              <c16:uniqueId val="{00000000-B476-4FF6-97E8-E43E7414741E}"/>
            </c:ext>
          </c:extLst>
        </c:ser>
        <c:ser>
          <c:idx val="1"/>
          <c:order val="1"/>
          <c:tx>
            <c:strRef>
              <c:f>'2. Trade in Goods'!$A$12</c:f>
              <c:strCache>
                <c:ptCount val="1"/>
                <c:pt idx="0">
                  <c:v>Transport equipmany (inc. aerospace)</c:v>
                </c:pt>
              </c:strCache>
            </c:strRef>
          </c:tx>
          <c:spPr>
            <a:solidFill>
              <a:srgbClr val="990000"/>
            </a:solidFill>
            <a:ln w="12700">
              <a:solidFill>
                <a:srgbClr val="45070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Goods'!$B$12:$C$12</c:f>
              <c:numCache>
                <c:formatCode>_-[$£-809]* #,##0.0_-;\-[$£-809]* #,##0.0_-;_-[$£-809]* "-"??_-;_-@_-</c:formatCode>
                <c:ptCount val="2"/>
                <c:pt idx="0">
                  <c:v>12.85</c:v>
                </c:pt>
                <c:pt idx="1">
                  <c:v>23.63</c:v>
                </c:pt>
              </c:numCache>
            </c:numRef>
          </c:val>
          <c:extLst>
            <c:ext xmlns:c16="http://schemas.microsoft.com/office/drawing/2014/chart" uri="{C3380CC4-5D6E-409C-BE32-E72D297353CC}">
              <c16:uniqueId val="{00000001-B476-4FF6-97E8-E43E7414741E}"/>
            </c:ext>
          </c:extLst>
        </c:ser>
        <c:ser>
          <c:idx val="2"/>
          <c:order val="2"/>
          <c:tx>
            <c:strRef>
              <c:f>'2. Trade in Goods'!$A$13</c:f>
              <c:strCache>
                <c:ptCount val="1"/>
                <c:pt idx="0">
                  <c:v>Machinery</c:v>
                </c:pt>
              </c:strCache>
            </c:strRef>
          </c:tx>
          <c:spPr>
            <a:solidFill>
              <a:schemeClr val="accent1">
                <a:lumMod val="75000"/>
              </a:schemeClr>
            </a:solidFill>
            <a:ln w="12700">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Goods'!$B$13:$C$13</c:f>
              <c:numCache>
                <c:formatCode>_-[$£-809]* #,##0.0_-;\-[$£-809]* #,##0.0_-;_-[$£-809]* "-"??_-;_-@_-</c:formatCode>
                <c:ptCount val="2"/>
                <c:pt idx="0">
                  <c:v>14.29</c:v>
                </c:pt>
                <c:pt idx="1">
                  <c:v>18.84</c:v>
                </c:pt>
              </c:numCache>
            </c:numRef>
          </c:val>
          <c:extLst>
            <c:ext xmlns:c16="http://schemas.microsoft.com/office/drawing/2014/chart" uri="{C3380CC4-5D6E-409C-BE32-E72D297353CC}">
              <c16:uniqueId val="{00000002-B476-4FF6-97E8-E43E7414741E}"/>
            </c:ext>
          </c:extLst>
        </c:ser>
        <c:ser>
          <c:idx val="3"/>
          <c:order val="3"/>
          <c:tx>
            <c:strRef>
              <c:f>'2. Trade in Goods'!$A$14</c:f>
              <c:strCache>
                <c:ptCount val="1"/>
                <c:pt idx="0">
                  <c:v>Chemicals</c:v>
                </c:pt>
              </c:strCache>
            </c:strRef>
          </c:tx>
          <c:spPr>
            <a:solidFill>
              <a:srgbClr val="F24848"/>
            </a:solidFill>
            <a:ln w="12700">
              <a:solidFill>
                <a:srgbClr val="C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Goods'!$B$14:$C$14</c:f>
              <c:numCache>
                <c:formatCode>_-[$£-809]* #,##0.0_-;\-[$£-809]* #,##0.0_-;_-[$£-809]* "-"??_-;_-@_-</c:formatCode>
                <c:ptCount val="2"/>
                <c:pt idx="0">
                  <c:v>18.34</c:v>
                </c:pt>
                <c:pt idx="1">
                  <c:v>11.76</c:v>
                </c:pt>
              </c:numCache>
            </c:numRef>
          </c:val>
          <c:extLst>
            <c:ext xmlns:c16="http://schemas.microsoft.com/office/drawing/2014/chart" uri="{C3380CC4-5D6E-409C-BE32-E72D297353CC}">
              <c16:uniqueId val="{00000003-B476-4FF6-97E8-E43E7414741E}"/>
            </c:ext>
          </c:extLst>
        </c:ser>
        <c:ser>
          <c:idx val="4"/>
          <c:order val="4"/>
          <c:tx>
            <c:strRef>
              <c:f>'2. Trade in Goods'!$A$16</c:f>
              <c:strCache>
                <c:ptCount val="1"/>
                <c:pt idx="0">
                  <c:v>Pharmaceuticals</c:v>
                </c:pt>
              </c:strCache>
            </c:strRef>
          </c:tx>
          <c:spPr>
            <a:solidFill>
              <a:schemeClr val="accent1">
                <a:lumMod val="60000"/>
                <a:lumOff val="40000"/>
              </a:schemeClr>
            </a:solidFill>
            <a:ln w="12700">
              <a:solidFill>
                <a:schemeClr val="accent1">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Goods'!$B$16:$C$16</c:f>
              <c:numCache>
                <c:formatCode>_-[$£-809]* #,##0.0_-;\-[$£-809]* #,##0.0_-;_-[$£-809]* "-"??_-;_-@_-</c:formatCode>
                <c:ptCount val="2"/>
                <c:pt idx="0">
                  <c:v>11.14</c:v>
                </c:pt>
                <c:pt idx="1">
                  <c:v>14.42</c:v>
                </c:pt>
              </c:numCache>
            </c:numRef>
          </c:val>
          <c:extLst>
            <c:ext xmlns:c16="http://schemas.microsoft.com/office/drawing/2014/chart" uri="{C3380CC4-5D6E-409C-BE32-E72D297353CC}">
              <c16:uniqueId val="{00000004-B476-4FF6-97E8-E43E7414741E}"/>
            </c:ext>
          </c:extLst>
        </c:ser>
        <c:ser>
          <c:idx val="5"/>
          <c:order val="5"/>
          <c:tx>
            <c:strRef>
              <c:f>'2. Trade in Goods'!#REF!</c:f>
              <c:strCache>
                <c:ptCount val="1"/>
                <c:pt idx="0">
                  <c:v>#REF!</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Goods'!#REF!</c:f>
              <c:numCache>
                <c:formatCode>General</c:formatCode>
                <c:ptCount val="1"/>
                <c:pt idx="0">
                  <c:v>1</c:v>
                </c:pt>
              </c:numCache>
            </c:numRef>
          </c:val>
          <c:extLst>
            <c:ext xmlns:c16="http://schemas.microsoft.com/office/drawing/2014/chart" uri="{C3380CC4-5D6E-409C-BE32-E72D297353CC}">
              <c16:uniqueId val="{00000005-B476-4FF6-97E8-E43E7414741E}"/>
            </c:ext>
          </c:extLst>
        </c:ser>
        <c:ser>
          <c:idx val="6"/>
          <c:order val="6"/>
          <c:tx>
            <c:strRef>
              <c:f>'2. Trade in Goods'!$A$17</c:f>
              <c:strCache>
                <c:ptCount val="1"/>
                <c:pt idx="0">
                  <c:v>Basic metals</c:v>
                </c:pt>
              </c:strCache>
            </c:strRef>
          </c:tx>
          <c:spPr>
            <a:solidFill>
              <a:srgbClr val="062B03"/>
            </a:solidFill>
            <a:ln w="12700">
              <a:solidFill>
                <a:sysClr val="windowText" lastClr="000000"/>
              </a:solidFill>
            </a:ln>
            <a:effectLst/>
          </c:spPr>
          <c:invertIfNegative val="0"/>
          <c:dLbls>
            <c:dLbl>
              <c:idx val="0"/>
              <c:layout>
                <c:manualLayout>
                  <c:x val="-6.9094686034136717E-17"/>
                  <c:y val="1.51133531234957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76-4FF6-97E8-E43E7414741E}"/>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Goods'!$B$17:$C$17</c:f>
              <c:numCache>
                <c:formatCode>_-[$£-809]* #,##0.0_-;\-[$£-809]* #,##0.0_-;_-[$£-809]* "-"??_-;_-@_-</c:formatCode>
                <c:ptCount val="2"/>
                <c:pt idx="0">
                  <c:v>7.36</c:v>
                </c:pt>
                <c:pt idx="1">
                  <c:v>9.42</c:v>
                </c:pt>
              </c:numCache>
            </c:numRef>
          </c:val>
          <c:extLst>
            <c:ext xmlns:c16="http://schemas.microsoft.com/office/drawing/2014/chart" uri="{C3380CC4-5D6E-409C-BE32-E72D297353CC}">
              <c16:uniqueId val="{00000007-B476-4FF6-97E8-E43E7414741E}"/>
            </c:ext>
          </c:extLst>
        </c:ser>
        <c:ser>
          <c:idx val="7"/>
          <c:order val="7"/>
          <c:tx>
            <c:strRef>
              <c:f>'2. Trade in Goods'!$A$18</c:f>
              <c:strCache>
                <c:ptCount val="1"/>
                <c:pt idx="0">
                  <c:v>Food products</c:v>
                </c:pt>
              </c:strCache>
            </c:strRef>
          </c:tx>
          <c:spPr>
            <a:solidFill>
              <a:schemeClr val="accent6">
                <a:lumMod val="75000"/>
              </a:schemeClr>
            </a:solidFill>
            <a:ln w="12700">
              <a:solidFill>
                <a:schemeClr val="tx1">
                  <a:lumMod val="95000"/>
                  <a:lumOff val="5000"/>
                </a:schemeClr>
              </a:solidFill>
            </a:ln>
            <a:effectLst/>
          </c:spPr>
          <c:invertIfNegative val="0"/>
          <c:dLbls>
            <c:dLbl>
              <c:idx val="0"/>
              <c:layout>
                <c:manualLayout>
                  <c:x val="-6.9094686034136717E-17"/>
                  <c:y val="-2.64480704591662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476-4FF6-97E8-E43E7414741E}"/>
                </c:ext>
              </c:extLst>
            </c:dLbl>
            <c:dLbl>
              <c:idx val="1"/>
              <c:delete val="1"/>
              <c:extLst>
                <c:ext xmlns:c15="http://schemas.microsoft.com/office/drawing/2012/chart" uri="{CE6537A1-D6FC-4f65-9D91-7224C49458BB}"/>
                <c:ext xmlns:c16="http://schemas.microsoft.com/office/drawing/2014/chart" uri="{C3380CC4-5D6E-409C-BE32-E72D297353CC}">
                  <c16:uniqueId val="{00000009-B476-4FF6-97E8-E43E7414741E}"/>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Goods'!$B$18:$C$18</c:f>
              <c:numCache>
                <c:formatCode>_-[$£-809]* #,##0.0_-;\-[$£-809]* #,##0.0_-;_-[$£-809]* "-"??_-;_-@_-</c:formatCode>
                <c:ptCount val="2"/>
                <c:pt idx="0">
                  <c:v>9.7799999999999994</c:v>
                </c:pt>
                <c:pt idx="1">
                  <c:v>3.68</c:v>
                </c:pt>
              </c:numCache>
            </c:numRef>
          </c:val>
          <c:extLst>
            <c:ext xmlns:c16="http://schemas.microsoft.com/office/drawing/2014/chart" uri="{C3380CC4-5D6E-409C-BE32-E72D297353CC}">
              <c16:uniqueId val="{0000000A-B476-4FF6-97E8-E43E7414741E}"/>
            </c:ext>
          </c:extLst>
        </c:ser>
        <c:ser>
          <c:idx val="8"/>
          <c:order val="8"/>
          <c:tx>
            <c:strRef>
              <c:f>'2. Trade in Goods'!$A$19</c:f>
              <c:strCache>
                <c:ptCount val="1"/>
                <c:pt idx="0">
                  <c:v>Electrical goods</c:v>
                </c:pt>
              </c:strCache>
            </c:strRef>
          </c:tx>
          <c:spPr>
            <a:solidFill>
              <a:schemeClr val="accent6">
                <a:lumMod val="60000"/>
                <a:lumOff val="40000"/>
              </a:schemeClr>
            </a:solidFill>
            <a:ln w="12700">
              <a:solidFill>
                <a:schemeClr val="accent6">
                  <a:lumMod val="50000"/>
                </a:schemeClr>
              </a:solidFill>
            </a:ln>
            <a:effectLst/>
          </c:spPr>
          <c:invertIfNegative val="0"/>
          <c:dLbls>
            <c:dLbl>
              <c:idx val="0"/>
              <c:layout>
                <c:manualLayout>
                  <c:x val="-1.4563468381619553E-3"/>
                  <c:y val="1.5113948137398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76-4FF6-97E8-E43E7414741E}"/>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Goods'!$B$19:$C$19</c:f>
              <c:numCache>
                <c:formatCode>_-[$£-809]* #,##0.0_-;\-[$£-809]* #,##0.0_-;_-[$£-809]* "-"??_-;_-@_-</c:formatCode>
                <c:ptCount val="2"/>
                <c:pt idx="0">
                  <c:v>5.81</c:v>
                </c:pt>
                <c:pt idx="1">
                  <c:v>6.54</c:v>
                </c:pt>
              </c:numCache>
            </c:numRef>
          </c:val>
          <c:extLst>
            <c:ext xmlns:c16="http://schemas.microsoft.com/office/drawing/2014/chart" uri="{C3380CC4-5D6E-409C-BE32-E72D297353CC}">
              <c16:uniqueId val="{0000000C-B476-4FF6-97E8-E43E7414741E}"/>
            </c:ext>
          </c:extLst>
        </c:ser>
        <c:ser>
          <c:idx val="9"/>
          <c:order val="9"/>
          <c:tx>
            <c:strRef>
              <c:f>'2. Trade in Goods'!$A$20</c:f>
              <c:strCache>
                <c:ptCount val="1"/>
                <c:pt idx="0">
                  <c:v>Beverages</c:v>
                </c:pt>
              </c:strCache>
            </c:strRef>
          </c:tx>
          <c:spPr>
            <a:solidFill>
              <a:schemeClr val="accent4">
                <a:lumMod val="60000"/>
                <a:lumOff val="40000"/>
              </a:schemeClr>
            </a:solidFill>
            <a:ln w="12700">
              <a:solidFill>
                <a:schemeClr val="accent4">
                  <a:lumMod val="50000"/>
                </a:schemeClr>
              </a:solidFill>
            </a:ln>
            <a:effectLst/>
          </c:spPr>
          <c:invertIfNegative val="0"/>
          <c:dLbls>
            <c:delete val="1"/>
          </c:dLbls>
          <c:cat>
            <c:strRef>
              <c:f>'2. Trade in Goods'!$B$10:$C$10</c:f>
              <c:strCache>
                <c:ptCount val="2"/>
                <c:pt idx="0">
                  <c:v>EU</c:v>
                </c:pt>
                <c:pt idx="1">
                  <c:v>non-EU</c:v>
                </c:pt>
              </c:strCache>
            </c:strRef>
          </c:cat>
          <c:val>
            <c:numRef>
              <c:f>'2. Trade in Goods'!$B$20:$C$20</c:f>
              <c:numCache>
                <c:formatCode>_-[$£-809]* #,##0.0_-;\-[$£-809]* #,##0.0_-;_-[$£-809]* "-"??_-;_-@_-</c:formatCode>
                <c:ptCount val="2"/>
                <c:pt idx="0">
                  <c:v>2.95</c:v>
                </c:pt>
                <c:pt idx="1">
                  <c:v>5.25</c:v>
                </c:pt>
              </c:numCache>
            </c:numRef>
          </c:val>
          <c:extLst>
            <c:ext xmlns:c16="http://schemas.microsoft.com/office/drawing/2014/chart" uri="{C3380CC4-5D6E-409C-BE32-E72D297353CC}">
              <c16:uniqueId val="{0000000D-B476-4FF6-97E8-E43E7414741E}"/>
            </c:ext>
          </c:extLst>
        </c:ser>
        <c:ser>
          <c:idx val="10"/>
          <c:order val="10"/>
          <c:tx>
            <c:strRef>
              <c:f>'2. Trade in Goods'!$A$21</c:f>
              <c:strCache>
                <c:ptCount val="1"/>
                <c:pt idx="0">
                  <c:v>Other manufactured products</c:v>
                </c:pt>
              </c:strCache>
            </c:strRef>
          </c:tx>
          <c:spPr>
            <a:solidFill>
              <a:schemeClr val="accent4">
                <a:lumMod val="75000"/>
              </a:schemeClr>
            </a:solidFill>
            <a:ln w="12700">
              <a:solidFill>
                <a:schemeClr val="accent4">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Goods'!$B$21:$C$21</c:f>
              <c:numCache>
                <c:formatCode>_-[$£-809]* #,##0.0_-;\-[$£-809]* #,##0.0_-;_-[$£-809]* "-"??_-;_-@_-</c:formatCode>
                <c:ptCount val="2"/>
                <c:pt idx="0">
                  <c:v>36.86</c:v>
                </c:pt>
                <c:pt idx="1">
                  <c:v>24.642999999999972</c:v>
                </c:pt>
              </c:numCache>
            </c:numRef>
          </c:val>
          <c:extLst>
            <c:ext xmlns:c16="http://schemas.microsoft.com/office/drawing/2014/chart" uri="{C3380CC4-5D6E-409C-BE32-E72D297353CC}">
              <c16:uniqueId val="{0000000E-B476-4FF6-97E8-E43E7414741E}"/>
            </c:ext>
          </c:extLst>
        </c:ser>
        <c:ser>
          <c:idx val="11"/>
          <c:order val="11"/>
          <c:tx>
            <c:strRef>
              <c:f>'2. Trade in Goods'!$A$22</c:f>
              <c:strCache>
                <c:ptCount val="1"/>
                <c:pt idx="0">
                  <c:v>Products of agriculture, forestry &amp; fishing</c:v>
                </c:pt>
              </c:strCache>
            </c:strRef>
          </c:tx>
          <c:spPr>
            <a:solidFill>
              <a:schemeClr val="tx1"/>
            </a:solidFill>
            <a:ln w="12700">
              <a:solidFill>
                <a:schemeClr val="tx1">
                  <a:lumMod val="85000"/>
                  <a:lumOff val="15000"/>
                </a:schemeClr>
              </a:solidFill>
            </a:ln>
            <a:effectLst/>
          </c:spPr>
          <c:invertIfNegative val="0"/>
          <c:dLbls>
            <c:delete val="1"/>
          </c:dLbls>
          <c:cat>
            <c:strRef>
              <c:f>'2. Trade in Goods'!$B$10:$C$10</c:f>
              <c:strCache>
                <c:ptCount val="2"/>
                <c:pt idx="0">
                  <c:v>EU</c:v>
                </c:pt>
                <c:pt idx="1">
                  <c:v>non-EU</c:v>
                </c:pt>
              </c:strCache>
            </c:strRef>
          </c:cat>
          <c:val>
            <c:numRef>
              <c:f>'2. Trade in Goods'!$B$22:$C$22</c:f>
              <c:numCache>
                <c:formatCode>_-[$£-809]* #,##0.0_-;\-[$£-809]* #,##0.0_-;_-[$£-809]* "-"??_-;_-@_-</c:formatCode>
                <c:ptCount val="2"/>
                <c:pt idx="0">
                  <c:v>2.1240000000000001</c:v>
                </c:pt>
                <c:pt idx="1">
                  <c:v>0.84799999999999998</c:v>
                </c:pt>
              </c:numCache>
            </c:numRef>
          </c:val>
          <c:extLst>
            <c:ext xmlns:c16="http://schemas.microsoft.com/office/drawing/2014/chart" uri="{C3380CC4-5D6E-409C-BE32-E72D297353CC}">
              <c16:uniqueId val="{0000000F-B476-4FF6-97E8-E43E7414741E}"/>
            </c:ext>
          </c:extLst>
        </c:ser>
        <c:ser>
          <c:idx val="12"/>
          <c:order val="12"/>
          <c:tx>
            <c:strRef>
              <c:f>'2. Trade in Goods'!$A$23</c:f>
              <c:strCache>
                <c:ptCount val="1"/>
                <c:pt idx="0">
                  <c:v>Mining &amp; quarrying (Inc. crude oil &amp; gas)</c:v>
                </c:pt>
              </c:strCache>
            </c:strRef>
          </c:tx>
          <c:spPr>
            <a:solidFill>
              <a:schemeClr val="tx1">
                <a:lumMod val="65000"/>
                <a:lumOff val="35000"/>
              </a:schemeClr>
            </a:solidFill>
            <a:ln w="12700">
              <a:solidFill>
                <a:schemeClr val="tx1">
                  <a:lumMod val="85000"/>
                  <a:lumOff val="1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Goods'!$B$23:$C$23</c:f>
              <c:numCache>
                <c:formatCode>_-[$£-809]* #,##0.0_-;\-[$£-809]* #,##0.0_-;_-[$£-809]* "-"??_-;_-@_-</c:formatCode>
                <c:ptCount val="2"/>
                <c:pt idx="0">
                  <c:v>15.9</c:v>
                </c:pt>
                <c:pt idx="1">
                  <c:v>7.5650000000000004</c:v>
                </c:pt>
              </c:numCache>
            </c:numRef>
          </c:val>
          <c:extLst>
            <c:ext xmlns:c16="http://schemas.microsoft.com/office/drawing/2014/chart" uri="{C3380CC4-5D6E-409C-BE32-E72D297353CC}">
              <c16:uniqueId val="{00000010-B476-4FF6-97E8-E43E7414741E}"/>
            </c:ext>
          </c:extLst>
        </c:ser>
        <c:ser>
          <c:idx val="13"/>
          <c:order val="13"/>
          <c:tx>
            <c:strRef>
              <c:f>'2. Trade in Goods'!$A$24</c:f>
              <c:strCache>
                <c:ptCount val="1"/>
                <c:pt idx="0">
                  <c:v>Electricity, gas, steam &amp; air conditioning</c:v>
                </c:pt>
              </c:strCache>
            </c:strRef>
          </c:tx>
          <c:spPr>
            <a:solidFill>
              <a:schemeClr val="accent2">
                <a:lumMod val="80000"/>
                <a:lumOff val="20000"/>
              </a:schemeClr>
            </a:solidFill>
            <a:ln>
              <a:noFill/>
            </a:ln>
            <a:effectLst/>
          </c:spPr>
          <c:invertIfNegative val="0"/>
          <c:dLbls>
            <c:delete val="1"/>
          </c:dLbls>
          <c:cat>
            <c:strRef>
              <c:f>'2. Trade in Goods'!$B$10:$C$10</c:f>
              <c:strCache>
                <c:ptCount val="2"/>
                <c:pt idx="0">
                  <c:v>EU</c:v>
                </c:pt>
                <c:pt idx="1">
                  <c:v>non-EU</c:v>
                </c:pt>
              </c:strCache>
            </c:strRef>
          </c:cat>
          <c:val>
            <c:numRef>
              <c:f>'2. Trade in Goods'!$B$24:$C$24</c:f>
              <c:numCache>
                <c:formatCode>_-[$£-809]* #,##0.0_-;\-[$£-809]* #,##0.0_-;_-[$£-809]* "-"??_-;_-@_-</c:formatCode>
                <c:ptCount val="2"/>
                <c:pt idx="0">
                  <c:v>0.13</c:v>
                </c:pt>
                <c:pt idx="1">
                  <c:v>0</c:v>
                </c:pt>
              </c:numCache>
            </c:numRef>
          </c:val>
          <c:extLst>
            <c:ext xmlns:c16="http://schemas.microsoft.com/office/drawing/2014/chart" uri="{C3380CC4-5D6E-409C-BE32-E72D297353CC}">
              <c16:uniqueId val="{00000011-B476-4FF6-97E8-E43E7414741E}"/>
            </c:ext>
          </c:extLst>
        </c:ser>
        <c:ser>
          <c:idx val="14"/>
          <c:order val="14"/>
          <c:tx>
            <c:strRef>
              <c:f>'2. Trade in Goods'!$A$25</c:f>
              <c:strCache>
                <c:ptCount val="1"/>
                <c:pt idx="0">
                  <c:v>Water supply, sewerage &amp; waste management</c:v>
                </c:pt>
              </c:strCache>
            </c:strRef>
          </c:tx>
          <c:spPr>
            <a:solidFill>
              <a:schemeClr val="bg1">
                <a:lumMod val="75000"/>
              </a:schemeClr>
            </a:solidFill>
            <a:ln w="12700">
              <a:solidFill>
                <a:schemeClr val="tx1">
                  <a:lumMod val="65000"/>
                  <a:lumOff val="35000"/>
                </a:schemeClr>
              </a:solidFill>
            </a:ln>
            <a:effectLst/>
          </c:spPr>
          <c:invertIfNegative val="0"/>
          <c:dLbls>
            <c:delete val="1"/>
          </c:dLbls>
          <c:cat>
            <c:strRef>
              <c:f>'2. Trade in Goods'!$B$10:$C$10</c:f>
              <c:strCache>
                <c:ptCount val="2"/>
                <c:pt idx="0">
                  <c:v>EU</c:v>
                </c:pt>
                <c:pt idx="1">
                  <c:v>non-EU</c:v>
                </c:pt>
              </c:strCache>
            </c:strRef>
          </c:cat>
          <c:val>
            <c:numRef>
              <c:f>'2. Trade in Goods'!$B$25:$C$25</c:f>
              <c:numCache>
                <c:formatCode>_-[$£-809]* #,##0.0_-;\-[$£-809]* #,##0.0_-;_-[$£-809]* "-"??_-;_-@_-</c:formatCode>
                <c:ptCount val="2"/>
                <c:pt idx="0">
                  <c:v>1.41</c:v>
                </c:pt>
                <c:pt idx="1">
                  <c:v>4.1820000000000004</c:v>
                </c:pt>
              </c:numCache>
            </c:numRef>
          </c:val>
          <c:extLst>
            <c:ext xmlns:c16="http://schemas.microsoft.com/office/drawing/2014/chart" uri="{C3380CC4-5D6E-409C-BE32-E72D297353CC}">
              <c16:uniqueId val="{00000012-B476-4FF6-97E8-E43E7414741E}"/>
            </c:ext>
          </c:extLst>
        </c:ser>
        <c:ser>
          <c:idx val="15"/>
          <c:order val="15"/>
          <c:tx>
            <c:strRef>
              <c:f>'2. Trade in Goods'!$A$26</c:f>
              <c:strCache>
                <c:ptCount val="1"/>
                <c:pt idx="0">
                  <c:v>Information &amp; communication services</c:v>
                </c:pt>
              </c:strCache>
            </c:strRef>
          </c:tx>
          <c:spPr>
            <a:solidFill>
              <a:schemeClr val="accent4">
                <a:lumMod val="80000"/>
                <a:lumOff val="20000"/>
              </a:schemeClr>
            </a:solidFill>
            <a:ln w="12700">
              <a:solidFill>
                <a:srgbClr val="F1581B"/>
              </a:solidFill>
            </a:ln>
            <a:effectLst/>
          </c:spPr>
          <c:invertIfNegative val="0"/>
          <c:dLbls>
            <c:delete val="1"/>
          </c:dLbls>
          <c:cat>
            <c:strRef>
              <c:f>'2. Trade in Goods'!$B$10:$C$10</c:f>
              <c:strCache>
                <c:ptCount val="2"/>
                <c:pt idx="0">
                  <c:v>EU</c:v>
                </c:pt>
                <c:pt idx="1">
                  <c:v>non-EU</c:v>
                </c:pt>
              </c:strCache>
            </c:strRef>
          </c:cat>
          <c:val>
            <c:numRef>
              <c:f>'2. Trade in Goods'!$B$26:$C$26</c:f>
              <c:numCache>
                <c:formatCode>_-[$£-809]* #,##0.0_-;\-[$£-809]* #,##0.0_-;_-[$£-809]* "-"??_-;_-@_-</c:formatCode>
                <c:ptCount val="2"/>
                <c:pt idx="0">
                  <c:v>1.786</c:v>
                </c:pt>
                <c:pt idx="1">
                  <c:v>1.9039999999999999</c:v>
                </c:pt>
              </c:numCache>
            </c:numRef>
          </c:val>
          <c:extLst>
            <c:ext xmlns:c16="http://schemas.microsoft.com/office/drawing/2014/chart" uri="{C3380CC4-5D6E-409C-BE32-E72D297353CC}">
              <c16:uniqueId val="{00000013-B476-4FF6-97E8-E43E7414741E}"/>
            </c:ext>
          </c:extLst>
        </c:ser>
        <c:ser>
          <c:idx val="16"/>
          <c:order val="16"/>
          <c:tx>
            <c:strRef>
              <c:f>'2. Trade in Goods'!$A$27</c:f>
              <c:strCache>
                <c:ptCount val="1"/>
                <c:pt idx="0">
                  <c:v>Arts, entertainment &amp; recreation</c:v>
                </c:pt>
              </c:strCache>
            </c:strRef>
          </c:tx>
          <c:spPr>
            <a:solidFill>
              <a:srgbClr val="663300"/>
            </a:solidFill>
            <a:ln w="12700">
              <a:solidFill>
                <a:srgbClr val="450701"/>
              </a:solidFill>
            </a:ln>
            <a:effectLst/>
          </c:spPr>
          <c:invertIfNegative val="0"/>
          <c:dLbls>
            <c:delete val="1"/>
          </c:dLbls>
          <c:cat>
            <c:strRef>
              <c:f>'2. Trade in Goods'!$B$10:$C$10</c:f>
              <c:strCache>
                <c:ptCount val="2"/>
                <c:pt idx="0">
                  <c:v>EU</c:v>
                </c:pt>
                <c:pt idx="1">
                  <c:v>non-EU</c:v>
                </c:pt>
              </c:strCache>
            </c:strRef>
          </c:cat>
          <c:val>
            <c:numRef>
              <c:f>'2. Trade in Goods'!$B$27:$C$27</c:f>
              <c:numCache>
                <c:formatCode>_-[$£-809]* #,##0.0_-;\-[$£-809]* #,##0.0_-;_-[$£-809]* "-"??_-;_-@_-</c:formatCode>
                <c:ptCount val="2"/>
                <c:pt idx="0">
                  <c:v>0.24299999999999999</c:v>
                </c:pt>
                <c:pt idx="1">
                  <c:v>5.5640000000000001</c:v>
                </c:pt>
              </c:numCache>
            </c:numRef>
          </c:val>
          <c:extLst>
            <c:ext xmlns:c16="http://schemas.microsoft.com/office/drawing/2014/chart" uri="{C3380CC4-5D6E-409C-BE32-E72D297353CC}">
              <c16:uniqueId val="{00000014-B476-4FF6-97E8-E43E7414741E}"/>
            </c:ext>
          </c:extLst>
        </c:ser>
        <c:dLbls>
          <c:dLblPos val="ctr"/>
          <c:showLegendKey val="0"/>
          <c:showVal val="1"/>
          <c:showCatName val="0"/>
          <c:showSerName val="0"/>
          <c:showPercent val="0"/>
          <c:showBubbleSize val="0"/>
        </c:dLbls>
        <c:gapWidth val="85"/>
        <c:overlap val="100"/>
        <c:axId val="592131296"/>
        <c:axId val="592132608"/>
      </c:barChart>
      <c:catAx>
        <c:axId val="592131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592132608"/>
        <c:crosses val="autoZero"/>
        <c:auto val="1"/>
        <c:lblAlgn val="ctr"/>
        <c:lblOffset val="100"/>
        <c:noMultiLvlLbl val="0"/>
      </c:catAx>
      <c:valAx>
        <c:axId val="592132608"/>
        <c:scaling>
          <c:orientation val="minMax"/>
          <c:max val="160"/>
        </c:scaling>
        <c:delete val="0"/>
        <c:axPos val="t"/>
        <c:majorGridlines>
          <c:spPr>
            <a:ln w="9525" cap="flat" cmpd="sng" algn="ctr">
              <a:solidFill>
                <a:schemeClr val="tx1">
                  <a:lumMod val="15000"/>
                  <a:lumOff val="85000"/>
                </a:schemeClr>
              </a:solidFill>
              <a:round/>
            </a:ln>
            <a:effectLst/>
          </c:spPr>
        </c:majorGridlines>
        <c:numFmt formatCode="_-[$£-809]* #,##0_-;\-[$£-809]* #,##0_-;_-[$£-809]* &quot;-&quot;_-;_-@_-"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92131296"/>
        <c:crosses val="autoZero"/>
        <c:crossBetween val="between"/>
      </c:valAx>
      <c:spPr>
        <a:noFill/>
        <a:ln>
          <a:noFill/>
        </a:ln>
        <a:effectLst/>
      </c:spPr>
    </c:plotArea>
    <c:legend>
      <c:legendPos val="b"/>
      <c:layout>
        <c:manualLayout>
          <c:xMode val="edge"/>
          <c:yMode val="edge"/>
          <c:x val="1.3799404770231999E-3"/>
          <c:y val="0.64477699771455155"/>
          <c:w val="0.98970605830621383"/>
          <c:h val="0.3552230022854484"/>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tx1">
                    <a:lumMod val="75000"/>
                    <a:lumOff val="25000"/>
                  </a:schemeClr>
                </a:solidFill>
                <a:latin typeface="+mn-lt"/>
                <a:ea typeface="+mn-ea"/>
                <a:cs typeface="+mn-cs"/>
              </a:defRPr>
            </a:pPr>
            <a:r>
              <a:rPr lang="en-US" sz="1400" b="1" i="0" u="none" strike="noStrike" kern="1200" spc="0" baseline="0">
                <a:solidFill>
                  <a:schemeClr val="tx1">
                    <a:lumMod val="75000"/>
                    <a:lumOff val="25000"/>
                  </a:schemeClr>
                </a:solidFill>
                <a:latin typeface="+mn-lt"/>
                <a:ea typeface="+mn-ea"/>
                <a:cs typeface="+mn-cs"/>
              </a:rPr>
              <a:t>UK-EU and US-China 2018 </a:t>
            </a:r>
            <a:br>
              <a:rPr lang="en-US" sz="1400" b="1" i="0" u="none" strike="noStrike" kern="1200" spc="0" baseline="0">
                <a:solidFill>
                  <a:schemeClr val="tx1">
                    <a:lumMod val="75000"/>
                    <a:lumOff val="25000"/>
                  </a:schemeClr>
                </a:solidFill>
                <a:latin typeface="+mn-lt"/>
                <a:ea typeface="+mn-ea"/>
                <a:cs typeface="+mn-cs"/>
              </a:rPr>
            </a:br>
            <a:r>
              <a:rPr lang="en-US" sz="1400" b="1" i="0" u="none" strike="noStrike" kern="1200" spc="0" baseline="0">
                <a:solidFill>
                  <a:schemeClr val="tx1">
                    <a:lumMod val="75000"/>
                    <a:lumOff val="25000"/>
                  </a:schemeClr>
                </a:solidFill>
                <a:latin typeface="+mn-lt"/>
                <a:ea typeface="+mn-ea"/>
                <a:cs typeface="+mn-cs"/>
              </a:rPr>
              <a:t>Deficits compared: US$ bn</a:t>
            </a:r>
          </a:p>
        </c:rich>
      </c:tx>
      <c:layout>
        <c:manualLayout>
          <c:xMode val="edge"/>
          <c:yMode val="edge"/>
          <c:x val="0.29475737590122114"/>
          <c:y val="4.5553137555615561E-2"/>
        </c:manualLayout>
      </c:layout>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'2. Trade in Goods'!$B$237</c:f>
              <c:strCache>
                <c:ptCount val="1"/>
                <c:pt idx="0">
                  <c:v>US$ bn</c:v>
                </c:pt>
              </c:strCache>
            </c:strRef>
          </c:tx>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C1D2-4D51-892B-F048987C9B77}"/>
              </c:ext>
            </c:extLst>
          </c:dPt>
          <c:dPt>
            <c:idx val="1"/>
            <c:invertIfNegative val="0"/>
            <c:bubble3D val="0"/>
            <c:spPr>
              <a:solidFill>
                <a:srgbClr val="C00000"/>
              </a:solidFill>
              <a:ln>
                <a:noFill/>
              </a:ln>
              <a:effectLst/>
            </c:spPr>
            <c:extLst>
              <c:ext xmlns:c16="http://schemas.microsoft.com/office/drawing/2014/chart" uri="{C3380CC4-5D6E-409C-BE32-E72D297353CC}">
                <c16:uniqueId val="{00000003-C1D2-4D51-892B-F048987C9B77}"/>
              </c:ext>
            </c:extLst>
          </c:dPt>
          <c:cat>
            <c:strRef>
              <c:f>'2. Trade in Goods'!$A$238:$A$239</c:f>
              <c:strCache>
                <c:ptCount val="2"/>
                <c:pt idx="0">
                  <c:v>US‒China </c:v>
                </c:pt>
                <c:pt idx="1">
                  <c:v>UK‒EU</c:v>
                </c:pt>
              </c:strCache>
            </c:strRef>
          </c:cat>
          <c:val>
            <c:numRef>
              <c:f>'2. Trade in Goods'!$B$238:$B$239</c:f>
              <c:numCache>
                <c:formatCode>_-"$"* #,##0.0_-;\-"$"* #,##0.0_-;_-"$"* "-"??_-;_-@_-</c:formatCode>
                <c:ptCount val="2"/>
                <c:pt idx="0">
                  <c:v>378.66200000000003</c:v>
                </c:pt>
                <c:pt idx="1">
                  <c:v>85.183840000000004</c:v>
                </c:pt>
              </c:numCache>
            </c:numRef>
          </c:val>
          <c:extLst>
            <c:ext xmlns:c16="http://schemas.microsoft.com/office/drawing/2014/chart" uri="{C3380CC4-5D6E-409C-BE32-E72D297353CC}">
              <c16:uniqueId val="{00000004-C1D2-4D51-892B-F048987C9B77}"/>
            </c:ext>
          </c:extLst>
        </c:ser>
        <c:dLbls>
          <c:showLegendKey val="0"/>
          <c:showVal val="0"/>
          <c:showCatName val="0"/>
          <c:showSerName val="0"/>
          <c:showPercent val="0"/>
          <c:showBubbleSize val="0"/>
        </c:dLbls>
        <c:gapWidth val="87"/>
        <c:axId val="625382200"/>
        <c:axId val="625377280"/>
      </c:barChart>
      <c:catAx>
        <c:axId val="625382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crossAx val="625377280"/>
        <c:crosses val="autoZero"/>
        <c:auto val="1"/>
        <c:lblAlgn val="ctr"/>
        <c:lblOffset val="100"/>
        <c:noMultiLvlLbl val="0"/>
      </c:catAx>
      <c:valAx>
        <c:axId val="625377280"/>
        <c:scaling>
          <c:orientation val="minMax"/>
          <c:max val="350"/>
          <c:min val="0"/>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625382200"/>
        <c:crosses val="autoZero"/>
        <c:crossBetween val="between"/>
        <c:majorUnit val="50"/>
        <c:minorUnit val="1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75000"/>
                    <a:lumOff val="25000"/>
                  </a:schemeClr>
                </a:solidFill>
                <a:latin typeface="+mn-lt"/>
                <a:ea typeface="+mn-ea"/>
                <a:cs typeface="+mn-cs"/>
              </a:defRPr>
            </a:pPr>
            <a:r>
              <a:rPr lang="en-US" cap="none" baseline="0">
                <a:solidFill>
                  <a:schemeClr val="tx1">
                    <a:lumMod val="75000"/>
                    <a:lumOff val="25000"/>
                  </a:schemeClr>
                </a:solidFill>
              </a:rPr>
              <a:t>UK trade in goods &amp; services: 2018</a:t>
            </a:r>
          </a:p>
          <a:p>
            <a:pPr>
              <a:defRPr>
                <a:solidFill>
                  <a:schemeClr val="tx1">
                    <a:lumMod val="75000"/>
                    <a:lumOff val="25000"/>
                  </a:schemeClr>
                </a:solidFill>
              </a:defRPr>
            </a:pPr>
            <a:r>
              <a:rPr lang="en-US" cap="none" baseline="0">
                <a:solidFill>
                  <a:schemeClr val="tx1">
                    <a:lumMod val="75000"/>
                    <a:lumOff val="25000"/>
                  </a:schemeClr>
                </a:solidFill>
              </a:rPr>
              <a:t>Total </a:t>
            </a:r>
            <a:r>
              <a:rPr lang="en-US" cap="none" baseline="0">
                <a:solidFill>
                  <a:schemeClr val="tx1">
                    <a:lumMod val="75000"/>
                    <a:lumOff val="25000"/>
                  </a:schemeClr>
                </a:solidFill>
                <a:latin typeface="Calibri" panose="020F0502020204030204" pitchFamily="34" charset="0"/>
                <a:cs typeface="Calibri" panose="020F0502020204030204" pitchFamily="34" charset="0"/>
              </a:rPr>
              <a:t>£1,259 bn</a:t>
            </a:r>
            <a:endParaRPr lang="en-US" cap="none" baseline="0">
              <a:solidFill>
                <a:schemeClr val="tx1">
                  <a:lumMod val="75000"/>
                  <a:lumOff val="25000"/>
                </a:schemeClr>
              </a:solidFill>
            </a:endParaRPr>
          </a:p>
        </c:rich>
      </c:tx>
      <c:layout>
        <c:manualLayout>
          <c:xMode val="edge"/>
          <c:yMode val="edge"/>
          <c:x val="0.41267507665145464"/>
          <c:y val="5.7471264367816091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4.1169910067547867E-2"/>
          <c:y val="7.566999527357933E-2"/>
          <c:w val="0.3725260693764631"/>
          <c:h val="0.92433000472642068"/>
        </c:manualLayout>
      </c:layout>
      <c:doughnutChart>
        <c:varyColors val="1"/>
        <c:ser>
          <c:idx val="0"/>
          <c:order val="0"/>
          <c:tx>
            <c:strRef>
              <c:f>'1. All Trade'!$B$58</c:f>
              <c:strCache>
                <c:ptCount val="1"/>
                <c:pt idx="0">
                  <c:v> 1999 £ billion </c:v>
                </c:pt>
              </c:strCache>
            </c:strRef>
          </c:tx>
          <c:spPr>
            <a:solidFill>
              <a:srgbClr val="002060"/>
            </a:solidFill>
          </c:spPr>
          <c:dPt>
            <c:idx val="0"/>
            <c:bubble3D val="0"/>
            <c:spPr>
              <a:solidFill>
                <a:srgbClr val="00206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4C1-4E22-8F91-4B9F6147B59A}"/>
              </c:ext>
            </c:extLst>
          </c:dPt>
          <c:dPt>
            <c:idx val="1"/>
            <c:bubble3D val="0"/>
            <c:spPr>
              <a:solidFill>
                <a:srgbClr val="C00000"/>
              </a:solidFill>
              <a:ln>
                <a:solidFill>
                  <a:sysClr val="windowText" lastClr="000000"/>
                </a:solid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4C1-4E22-8F91-4B9F6147B59A}"/>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All Trade'!$A$59:$A$60</c:f>
              <c:strCache>
                <c:ptCount val="2"/>
                <c:pt idx="0">
                  <c:v>Trade in Goods</c:v>
                </c:pt>
                <c:pt idx="1">
                  <c:v>Trade in Services</c:v>
                </c:pt>
              </c:strCache>
            </c:strRef>
          </c:cat>
          <c:val>
            <c:numRef>
              <c:f>'1. All Trade'!$B$59:$B$60</c:f>
              <c:numCache>
                <c:formatCode>General</c:formatCode>
                <c:ptCount val="2"/>
                <c:pt idx="0" formatCode="0.00">
                  <c:v>472.59635102737406</c:v>
                </c:pt>
                <c:pt idx="1">
                  <c:v>139.392</c:v>
                </c:pt>
              </c:numCache>
            </c:numRef>
          </c:val>
          <c:extLst>
            <c:ext xmlns:c16="http://schemas.microsoft.com/office/drawing/2014/chart" uri="{C3380CC4-5D6E-409C-BE32-E72D297353CC}">
              <c16:uniqueId val="{00000004-14C1-4E22-8F91-4B9F6147B59A}"/>
            </c:ext>
          </c:extLst>
        </c:ser>
        <c:ser>
          <c:idx val="1"/>
          <c:order val="1"/>
          <c:tx>
            <c:strRef>
              <c:f>'1. All Trade'!$C$58</c:f>
              <c:strCache>
                <c:ptCount val="1"/>
                <c:pt idx="0">
                  <c:v> 2018 £ billion </c:v>
                </c:pt>
              </c:strCache>
            </c:strRef>
          </c:tx>
          <c:spPr>
            <a:solidFill>
              <a:srgbClr val="002060"/>
            </a:solidFill>
            <a:ln>
              <a:solidFill>
                <a:srgbClr val="990000"/>
              </a:solidFill>
            </a:ln>
          </c:spPr>
          <c:dPt>
            <c:idx val="0"/>
            <c:bubble3D val="0"/>
            <c:spPr>
              <a:solidFill>
                <a:srgbClr val="002060"/>
              </a:solidFill>
              <a:ln>
                <a:solidFill>
                  <a:srgbClr val="000E2A"/>
                </a:solid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7EA5-4675-92EF-FBB730B663DE}"/>
              </c:ext>
            </c:extLst>
          </c:dPt>
          <c:dPt>
            <c:idx val="1"/>
            <c:bubble3D val="0"/>
            <c:spPr>
              <a:solidFill>
                <a:srgbClr val="C00000"/>
              </a:solidFill>
              <a:ln>
                <a:solidFill>
                  <a:srgbClr val="990000"/>
                </a:solid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7EA5-4675-92EF-FBB730B663DE}"/>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All Trade'!$A$59:$A$60</c:f>
              <c:strCache>
                <c:ptCount val="2"/>
                <c:pt idx="0">
                  <c:v>Trade in Goods</c:v>
                </c:pt>
                <c:pt idx="1">
                  <c:v>Trade in Services</c:v>
                </c:pt>
              </c:strCache>
            </c:strRef>
          </c:cat>
          <c:val>
            <c:numRef>
              <c:f>'1. All Trade'!$C$59:$C$60</c:f>
              <c:numCache>
                <c:formatCode>_-[$£-809]* #,##0.0_-;\-[$£-809]* #,##0.0_-;_-[$£-809]* "-"??_-;_-@_-</c:formatCode>
                <c:ptCount val="2"/>
                <c:pt idx="0">
                  <c:v>814.51300000000003</c:v>
                </c:pt>
                <c:pt idx="1">
                  <c:v>444.49800000000005</c:v>
                </c:pt>
              </c:numCache>
            </c:numRef>
          </c:val>
          <c:extLst>
            <c:ext xmlns:c16="http://schemas.microsoft.com/office/drawing/2014/chart" uri="{C3380CC4-5D6E-409C-BE32-E72D297353CC}">
              <c16:uniqueId val="{00000004-D75F-41E3-979F-2A4432144F11}"/>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45114996886650433"/>
          <c:y val="0.64707200061530767"/>
          <c:w val="0.25605723834070293"/>
          <c:h val="0.25034851412804171"/>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85000"/>
                  <a:lumOff val="1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US" b="1"/>
              <a:t>Deficit in goods and services per person: 2018</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barChart>
        <c:barDir val="col"/>
        <c:grouping val="clustered"/>
        <c:varyColors val="0"/>
        <c:ser>
          <c:idx val="0"/>
          <c:order val="0"/>
          <c:tx>
            <c:strRef>
              <c:f>'2. Trade in Goods'!$B$245</c:f>
              <c:strCache>
                <c:ptCount val="1"/>
                <c:pt idx="0">
                  <c:v>US$ </c:v>
                </c:pt>
              </c:strCache>
            </c:strRef>
          </c:tx>
          <c:spPr>
            <a:solidFill>
              <a:schemeClr val="accent1"/>
            </a:solidFill>
            <a:ln>
              <a:noFill/>
            </a:ln>
            <a:effectLst/>
          </c:spPr>
          <c:invertIfNegative val="0"/>
          <c:dPt>
            <c:idx val="0"/>
            <c:invertIfNegative val="0"/>
            <c:bubble3D val="0"/>
            <c:spPr>
              <a:solidFill>
                <a:srgbClr val="C00000"/>
              </a:solidFill>
              <a:ln>
                <a:solidFill>
                  <a:srgbClr val="990000"/>
                </a:solidFill>
              </a:ln>
              <a:effectLst/>
            </c:spPr>
            <c:extLst>
              <c:ext xmlns:c16="http://schemas.microsoft.com/office/drawing/2014/chart" uri="{C3380CC4-5D6E-409C-BE32-E72D297353CC}">
                <c16:uniqueId val="{00000001-246F-4A9B-84A0-DD70A7868681}"/>
              </c:ext>
            </c:extLst>
          </c:dPt>
          <c:dPt>
            <c:idx val="1"/>
            <c:invertIfNegative val="0"/>
            <c:bubble3D val="0"/>
            <c:spPr>
              <a:solidFill>
                <a:srgbClr val="002060"/>
              </a:solidFill>
              <a:ln>
                <a:noFill/>
              </a:ln>
              <a:effectLst/>
            </c:spPr>
            <c:extLst>
              <c:ext xmlns:c16="http://schemas.microsoft.com/office/drawing/2014/chart" uri="{C3380CC4-5D6E-409C-BE32-E72D297353CC}">
                <c16:uniqueId val="{00000003-246F-4A9B-84A0-DD70A7868681}"/>
              </c:ext>
            </c:extLst>
          </c:dPt>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Goods'!$A$246:$A$247</c:f>
              <c:strCache>
                <c:ptCount val="2"/>
                <c:pt idx="0">
                  <c:v>US deficit with China </c:v>
                </c:pt>
                <c:pt idx="1">
                  <c:v>UK deficit with EU</c:v>
                </c:pt>
              </c:strCache>
            </c:strRef>
          </c:cat>
          <c:val>
            <c:numRef>
              <c:f>'2. Trade in Goods'!$B$246:$B$247</c:f>
              <c:numCache>
                <c:formatCode>_-[$$-409]* #,##0_ ;_-[$$-409]* \-#,##0\ ;_-[$$-409]* "-"??_ ;_-@_ </c:formatCode>
                <c:ptCount val="2"/>
                <c:pt idx="0">
                  <c:v>1176.6998135487881</c:v>
                </c:pt>
                <c:pt idx="1">
                  <c:v>1316.5972179289026</c:v>
                </c:pt>
              </c:numCache>
            </c:numRef>
          </c:val>
          <c:extLst>
            <c:ext xmlns:c16="http://schemas.microsoft.com/office/drawing/2014/chart" uri="{C3380CC4-5D6E-409C-BE32-E72D297353CC}">
              <c16:uniqueId val="{00000004-246F-4A9B-84A0-DD70A7868681}"/>
            </c:ext>
          </c:extLst>
        </c:ser>
        <c:dLbls>
          <c:showLegendKey val="0"/>
          <c:showVal val="0"/>
          <c:showCatName val="0"/>
          <c:showSerName val="0"/>
          <c:showPercent val="0"/>
          <c:showBubbleSize val="0"/>
        </c:dLbls>
        <c:gapWidth val="219"/>
        <c:overlap val="-27"/>
        <c:axId val="429755488"/>
        <c:axId val="429755816"/>
      </c:barChart>
      <c:catAx>
        <c:axId val="42975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crossAx val="429755816"/>
        <c:crosses val="autoZero"/>
        <c:auto val="1"/>
        <c:lblAlgn val="ctr"/>
        <c:lblOffset val="100"/>
        <c:noMultiLvlLbl val="0"/>
      </c:catAx>
      <c:valAx>
        <c:axId val="429755816"/>
        <c:scaling>
          <c:orientation val="minMax"/>
          <c:max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r>
                  <a:rPr lang="en-US" sz="1100" b="1"/>
                  <a:t>Deficit per peron</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429755488"/>
        <c:crosses val="autoZero"/>
        <c:crossBetween val="between"/>
        <c:majorUnit val="50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solidFill>
                  <a:schemeClr val="tx1">
                    <a:lumMod val="75000"/>
                    <a:lumOff val="25000"/>
                  </a:schemeClr>
                </a:solidFill>
              </a:rPr>
              <a:t>Annual Growth Rates</a:t>
            </a:r>
            <a:r>
              <a:rPr lang="en-AU" b="1" baseline="0">
                <a:solidFill>
                  <a:schemeClr val="tx1">
                    <a:lumMod val="75000"/>
                    <a:lumOff val="25000"/>
                  </a:schemeClr>
                </a:solidFill>
              </a:rPr>
              <a:t>, 1999 </a:t>
            </a:r>
            <a:r>
              <a:rPr lang="en-AU" b="1" baseline="0">
                <a:solidFill>
                  <a:schemeClr val="tx1">
                    <a:lumMod val="75000"/>
                    <a:lumOff val="25000"/>
                  </a:schemeClr>
                </a:solidFill>
                <a:latin typeface="Calibri" panose="020F0502020204030204" pitchFamily="34" charset="0"/>
                <a:cs typeface="Calibri" panose="020F0502020204030204" pitchFamily="34" charset="0"/>
              </a:rPr>
              <a:t>‒ 2018</a:t>
            </a:r>
            <a:endParaRPr lang="en-AU" b="1">
              <a:solidFill>
                <a:schemeClr val="tx1">
                  <a:lumMod val="75000"/>
                  <a:lumOff val="25000"/>
                </a:schemeClr>
              </a:solidFill>
            </a:endParaRPr>
          </a:p>
        </c:rich>
      </c:tx>
      <c:layout>
        <c:manualLayout>
          <c:xMode val="edge"/>
          <c:yMode val="edge"/>
          <c:x val="0.21011789151356078"/>
          <c:y val="5.504587155963303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002060"/>
            </a:solidFill>
            <a:ln>
              <a:noFill/>
            </a:ln>
            <a:effectLst/>
          </c:spPr>
          <c:invertIfNegative val="0"/>
          <c:dPt>
            <c:idx val="1"/>
            <c:invertIfNegative val="0"/>
            <c:bubble3D val="0"/>
            <c:spPr>
              <a:solidFill>
                <a:srgbClr val="800000"/>
              </a:solidFill>
              <a:ln>
                <a:noFill/>
              </a:ln>
              <a:effectLst/>
            </c:spPr>
            <c:extLst>
              <c:ext xmlns:c16="http://schemas.microsoft.com/office/drawing/2014/chart" uri="{C3380CC4-5D6E-409C-BE32-E72D297353CC}">
                <c16:uniqueId val="{00000001-B342-4B49-A10F-136DA3E880A7}"/>
              </c:ext>
            </c:extLst>
          </c:dPt>
          <c:dPt>
            <c:idx val="2"/>
            <c:invertIfNegative val="0"/>
            <c:bubble3D val="0"/>
            <c:spPr>
              <a:solidFill>
                <a:srgbClr val="062B03"/>
              </a:solidFill>
              <a:ln>
                <a:noFill/>
              </a:ln>
              <a:effectLst/>
            </c:spPr>
            <c:extLst>
              <c:ext xmlns:c16="http://schemas.microsoft.com/office/drawing/2014/chart" uri="{C3380CC4-5D6E-409C-BE32-E72D297353CC}">
                <c16:uniqueId val="{00000003-B342-4B49-A10F-136DA3E880A7}"/>
              </c:ext>
            </c:extLst>
          </c:dPt>
          <c:dPt>
            <c:idx val="3"/>
            <c:invertIfNegative val="0"/>
            <c:bubble3D val="0"/>
            <c:spPr>
              <a:solidFill>
                <a:schemeClr val="accent2">
                  <a:lumMod val="50000"/>
                </a:schemeClr>
              </a:solidFill>
              <a:ln>
                <a:noFill/>
              </a:ln>
              <a:effectLst/>
            </c:spPr>
            <c:extLst>
              <c:ext xmlns:c16="http://schemas.microsoft.com/office/drawing/2014/chart" uri="{C3380CC4-5D6E-409C-BE32-E72D297353CC}">
                <c16:uniqueId val="{00000005-B342-4B49-A10F-136DA3E880A7}"/>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Goods'!$A$258:$A$261</c:f>
              <c:strCache>
                <c:ptCount val="4"/>
                <c:pt idx="0">
                  <c:v>UK Goods Exports to EU</c:v>
                </c:pt>
                <c:pt idx="1">
                  <c:v>UK Productivity </c:v>
                </c:pt>
                <c:pt idx="2">
                  <c:v>Eurozone GDP*</c:v>
                </c:pt>
                <c:pt idx="3">
                  <c:v>US Goods Exports to EU </c:v>
                </c:pt>
              </c:strCache>
            </c:strRef>
          </c:cat>
          <c:val>
            <c:numRef>
              <c:f>'2. Trade in Goods'!$B$258:$B$261</c:f>
              <c:numCache>
                <c:formatCode>0.00%</c:formatCode>
                <c:ptCount val="4"/>
                <c:pt idx="0">
                  <c:v>3.1002118786171984E-3</c:v>
                </c:pt>
                <c:pt idx="1">
                  <c:v>1.0400000000000003E-2</c:v>
                </c:pt>
                <c:pt idx="2">
                  <c:v>1.5599999999999999E-2</c:v>
                </c:pt>
                <c:pt idx="3">
                  <c:v>2.2429599800198652E-2</c:v>
                </c:pt>
              </c:numCache>
            </c:numRef>
          </c:val>
          <c:extLst>
            <c:ext xmlns:c16="http://schemas.microsoft.com/office/drawing/2014/chart" uri="{C3380CC4-5D6E-409C-BE32-E72D297353CC}">
              <c16:uniqueId val="{00000006-B342-4B49-A10F-136DA3E880A7}"/>
            </c:ext>
          </c:extLst>
        </c:ser>
        <c:dLbls>
          <c:showLegendKey val="0"/>
          <c:showVal val="0"/>
          <c:showCatName val="0"/>
          <c:showSerName val="0"/>
          <c:showPercent val="0"/>
          <c:showBubbleSize val="0"/>
        </c:dLbls>
        <c:gapWidth val="117"/>
        <c:overlap val="-27"/>
        <c:axId val="575806384"/>
        <c:axId val="575803432"/>
      </c:barChart>
      <c:catAx>
        <c:axId val="57580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crossAx val="575803432"/>
        <c:crosses val="autoZero"/>
        <c:auto val="1"/>
        <c:lblAlgn val="ctr"/>
        <c:lblOffset val="100"/>
        <c:noMultiLvlLbl val="0"/>
      </c:catAx>
      <c:valAx>
        <c:axId val="575803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crossAx val="5758063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r>
              <a:rPr lang="en-AU" sz="1800" b="0" i="0" baseline="0">
                <a:solidFill>
                  <a:schemeClr val="tx1">
                    <a:lumMod val="75000"/>
                    <a:lumOff val="25000"/>
                  </a:schemeClr>
                </a:solidFill>
                <a:effectLst/>
              </a:rPr>
              <a:t>Comparative Nominal Goods Exports to EU: </a:t>
            </a:r>
          </a:p>
          <a:p>
            <a:pPr>
              <a:defRPr>
                <a:solidFill>
                  <a:schemeClr val="tx1">
                    <a:lumMod val="75000"/>
                    <a:lumOff val="25000"/>
                  </a:schemeClr>
                </a:solidFill>
              </a:defRPr>
            </a:pPr>
            <a:r>
              <a:rPr lang="en-AU" sz="1800" b="0" i="0" baseline="0">
                <a:solidFill>
                  <a:schemeClr val="tx1">
                    <a:lumMod val="75000"/>
                    <a:lumOff val="25000"/>
                  </a:schemeClr>
                </a:solidFill>
                <a:effectLst/>
              </a:rPr>
              <a:t>UK &amp; US, 1999‒2018</a:t>
            </a:r>
            <a:endParaRPr lang="en-AU">
              <a:solidFill>
                <a:schemeClr val="tx1">
                  <a:lumMod val="75000"/>
                  <a:lumOff val="25000"/>
                </a:schemeClr>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'2. Trade in Goods'!$D$306</c:f>
              <c:strCache>
                <c:ptCount val="1"/>
                <c:pt idx="0">
                  <c:v>UK Exports to EU</c:v>
                </c:pt>
              </c:strCache>
            </c:strRef>
          </c:tx>
          <c:spPr>
            <a:ln w="28575" cap="rnd">
              <a:solidFill>
                <a:srgbClr val="002060"/>
              </a:solidFill>
              <a:round/>
            </a:ln>
            <a:effectLst/>
          </c:spPr>
          <c:marker>
            <c:symbol val="none"/>
          </c:marker>
          <c:cat>
            <c:strRef>
              <c:f>'2. Trade in Goods'!$F$305:$Y$305</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Goods'!$F$306:$Y$306</c:f>
              <c:numCache>
                <c:formatCode>General</c:formatCode>
                <c:ptCount val="20"/>
                <c:pt idx="0">
                  <c:v>102.352</c:v>
                </c:pt>
                <c:pt idx="1">
                  <c:v>112.834</c:v>
                </c:pt>
                <c:pt idx="2">
                  <c:v>113.941</c:v>
                </c:pt>
                <c:pt idx="3">
                  <c:v>114.76600000000001</c:v>
                </c:pt>
                <c:pt idx="4">
                  <c:v>111.623</c:v>
                </c:pt>
                <c:pt idx="5">
                  <c:v>112.324</c:v>
                </c:pt>
                <c:pt idx="6">
                  <c:v>121.92</c:v>
                </c:pt>
                <c:pt idx="7">
                  <c:v>153.387</c:v>
                </c:pt>
                <c:pt idx="8">
                  <c:v>128.17599999999999</c:v>
                </c:pt>
                <c:pt idx="9">
                  <c:v>142.404</c:v>
                </c:pt>
                <c:pt idx="10">
                  <c:v>125.664</c:v>
                </c:pt>
                <c:pt idx="11">
                  <c:v>144.50800000000001</c:v>
                </c:pt>
                <c:pt idx="12">
                  <c:v>162.88300000000001</c:v>
                </c:pt>
                <c:pt idx="13">
                  <c:v>152.501</c:v>
                </c:pt>
                <c:pt idx="14">
                  <c:v>151.22300000000001</c:v>
                </c:pt>
                <c:pt idx="15">
                  <c:v>146.87200000000001</c:v>
                </c:pt>
                <c:pt idx="16">
                  <c:v>133.66399999999999</c:v>
                </c:pt>
                <c:pt idx="17">
                  <c:v>142.70500000000001</c:v>
                </c:pt>
                <c:pt idx="18">
                  <c:v>164.08099999999999</c:v>
                </c:pt>
                <c:pt idx="19">
                  <c:v>172.21100000000001</c:v>
                </c:pt>
              </c:numCache>
            </c:numRef>
          </c:val>
          <c:smooth val="0"/>
          <c:extLst>
            <c:ext xmlns:c16="http://schemas.microsoft.com/office/drawing/2014/chart" uri="{C3380CC4-5D6E-409C-BE32-E72D297353CC}">
              <c16:uniqueId val="{00000000-D96A-4DF6-BDB4-B7B70FC49ED6}"/>
            </c:ext>
          </c:extLst>
        </c:ser>
        <c:ser>
          <c:idx val="1"/>
          <c:order val="1"/>
          <c:tx>
            <c:strRef>
              <c:f>'2. Trade in Goods'!$D$307</c:f>
              <c:strCache>
                <c:ptCount val="1"/>
                <c:pt idx="0">
                  <c:v>US Exports to EU</c:v>
                </c:pt>
              </c:strCache>
            </c:strRef>
          </c:tx>
          <c:spPr>
            <a:ln w="28575" cap="rnd">
              <a:solidFill>
                <a:srgbClr val="990000"/>
              </a:solidFill>
              <a:round/>
            </a:ln>
            <a:effectLst/>
          </c:spPr>
          <c:marker>
            <c:symbol val="none"/>
          </c:marker>
          <c:cat>
            <c:strRef>
              <c:f>'2. Trade in Goods'!$F$305:$Y$305</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Goods'!$F$307:$Y$307</c:f>
              <c:numCache>
                <c:formatCode>0.00</c:formatCode>
                <c:ptCount val="20"/>
                <c:pt idx="0">
                  <c:v>95.673671199011125</c:v>
                </c:pt>
                <c:pt idx="1">
                  <c:v>111.02310231023102</c:v>
                </c:pt>
                <c:pt idx="2">
                  <c:v>112.43055555555556</c:v>
                </c:pt>
                <c:pt idx="3">
                  <c:v>97.733333333333334</c:v>
                </c:pt>
                <c:pt idx="4">
                  <c:v>95.229357798165125</c:v>
                </c:pt>
                <c:pt idx="5">
                  <c:v>93.398799781778507</c:v>
                </c:pt>
                <c:pt idx="6">
                  <c:v>101.75824175824175</c:v>
                </c:pt>
                <c:pt idx="7">
                  <c:v>114.97558328811721</c:v>
                </c:pt>
                <c:pt idx="8">
                  <c:v>121.97802197802199</c:v>
                </c:pt>
                <c:pt idx="9">
                  <c:v>146.52291105121296</c:v>
                </c:pt>
                <c:pt idx="10">
                  <c:v>140.95846645367413</c:v>
                </c:pt>
                <c:pt idx="11">
                  <c:v>154.98059508408795</c:v>
                </c:pt>
                <c:pt idx="12">
                  <c:v>167.76807980049875</c:v>
                </c:pt>
                <c:pt idx="13">
                  <c:v>167.44479495268138</c:v>
                </c:pt>
                <c:pt idx="14">
                  <c:v>167.47603833865816</c:v>
                </c:pt>
                <c:pt idx="15">
                  <c:v>167.65776699029126</c:v>
                </c:pt>
                <c:pt idx="16">
                  <c:v>177.8286461739699</c:v>
                </c:pt>
                <c:pt idx="17">
                  <c:v>198.74631268436576</c:v>
                </c:pt>
                <c:pt idx="18">
                  <c:v>219.78277734678048</c:v>
                </c:pt>
                <c:pt idx="19">
                  <c:v>239.54887218045113</c:v>
                </c:pt>
              </c:numCache>
            </c:numRef>
          </c:val>
          <c:smooth val="0"/>
          <c:extLst>
            <c:ext xmlns:c16="http://schemas.microsoft.com/office/drawing/2014/chart" uri="{C3380CC4-5D6E-409C-BE32-E72D297353CC}">
              <c16:uniqueId val="{00000001-D96A-4DF6-BDB4-B7B70FC49ED6}"/>
            </c:ext>
          </c:extLst>
        </c:ser>
        <c:dLbls>
          <c:showLegendKey val="0"/>
          <c:showVal val="0"/>
          <c:showCatName val="0"/>
          <c:showSerName val="0"/>
          <c:showPercent val="0"/>
          <c:showBubbleSize val="0"/>
        </c:dLbls>
        <c:smooth val="0"/>
        <c:axId val="818235600"/>
        <c:axId val="818233960"/>
      </c:lineChart>
      <c:catAx>
        <c:axId val="81823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crossAx val="818233960"/>
        <c:crosses val="autoZero"/>
        <c:auto val="1"/>
        <c:lblAlgn val="ctr"/>
        <c:lblOffset val="100"/>
        <c:tickMarkSkip val="2"/>
        <c:noMultiLvlLbl val="0"/>
      </c:catAx>
      <c:valAx>
        <c:axId val="818233960"/>
        <c:scaling>
          <c:orientation val="minMax"/>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r>
                  <a:rPr lang="en-AU">
                    <a:solidFill>
                      <a:schemeClr val="tx1">
                        <a:lumMod val="75000"/>
                        <a:lumOff val="25000"/>
                      </a:schemeClr>
                    </a:solidFill>
                    <a:latin typeface="Calibri" panose="020F0502020204030204" pitchFamily="34" charset="0"/>
                    <a:cs typeface="Calibri" panose="020F0502020204030204" pitchFamily="34" charset="0"/>
                  </a:rPr>
                  <a:t>£ billion in currenct exchange</a:t>
                </a:r>
                <a:r>
                  <a:rPr lang="en-AU" baseline="0">
                    <a:solidFill>
                      <a:schemeClr val="tx1">
                        <a:lumMod val="75000"/>
                        <a:lumOff val="25000"/>
                      </a:schemeClr>
                    </a:solidFill>
                    <a:latin typeface="Calibri" panose="020F0502020204030204" pitchFamily="34" charset="0"/>
                    <a:cs typeface="Calibri" panose="020F0502020204030204" pitchFamily="34" charset="0"/>
                  </a:rPr>
                  <a:t> rates</a:t>
                </a:r>
                <a:endParaRPr lang="en-AU">
                  <a:solidFill>
                    <a:schemeClr val="tx1">
                      <a:lumMod val="75000"/>
                      <a:lumOff val="25000"/>
                    </a:schemeClr>
                  </a:solidFill>
                </a:endParaRPr>
              </a:p>
            </c:rich>
          </c:tx>
          <c:layout>
            <c:manualLayout>
              <c:xMode val="edge"/>
              <c:yMode val="edge"/>
              <c:x val="1.6119399196286473E-2"/>
              <c:y val="0.14791666666666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818235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85000"/>
                    <a:lumOff val="15000"/>
                  </a:schemeClr>
                </a:solidFill>
                <a:latin typeface="+mn-lt"/>
                <a:ea typeface="+mn-ea"/>
                <a:cs typeface="+mn-cs"/>
              </a:defRPr>
            </a:pPr>
            <a:r>
              <a:rPr lang="en-US">
                <a:solidFill>
                  <a:schemeClr val="tx1">
                    <a:lumMod val="85000"/>
                    <a:lumOff val="15000"/>
                  </a:schemeClr>
                </a:solidFill>
              </a:rPr>
              <a:t>UK goods</a:t>
            </a:r>
            <a:r>
              <a:rPr lang="en-US" baseline="0">
                <a:solidFill>
                  <a:schemeClr val="tx1">
                    <a:lumMod val="85000"/>
                    <a:lumOff val="15000"/>
                  </a:schemeClr>
                </a:solidFill>
              </a:rPr>
              <a:t> exports to EU </a:t>
            </a:r>
            <a:r>
              <a:rPr lang="en-US">
                <a:solidFill>
                  <a:schemeClr val="tx1">
                    <a:lumMod val="85000"/>
                    <a:lumOff val="15000"/>
                  </a:schemeClr>
                </a:solidFill>
              </a:rPr>
              <a:t>(£ bn): 2018</a:t>
            </a:r>
          </a:p>
        </c:rich>
      </c:tx>
      <c:layout>
        <c:manualLayout>
          <c:xMode val="edge"/>
          <c:yMode val="edge"/>
          <c:x val="0.18946937188407006"/>
          <c:y val="1.1363636363636364E-2"/>
        </c:manualLayout>
      </c:layout>
      <c:overlay val="0"/>
      <c:spPr>
        <a:noFill/>
        <a:ln>
          <a:noFill/>
        </a:ln>
        <a:effectLst/>
      </c:spPr>
    </c:title>
    <c:autoTitleDeleted val="0"/>
    <c:plotArea>
      <c:layout>
        <c:manualLayout>
          <c:layoutTarget val="inner"/>
          <c:xMode val="edge"/>
          <c:yMode val="edge"/>
          <c:x val="3.6445538057742789E-2"/>
          <c:y val="0.15749269005847957"/>
          <c:w val="0.54099803149606296"/>
          <c:h val="0.71183951512639865"/>
        </c:manualLayout>
      </c:layout>
      <c:doughnutChart>
        <c:varyColors val="1"/>
        <c:ser>
          <c:idx val="0"/>
          <c:order val="0"/>
          <c:tx>
            <c:strRef>
              <c:f>'5. Accession impact'!$B$12</c:f>
              <c:strCache>
                <c:ptCount val="1"/>
                <c:pt idx="0">
                  <c:v>(£ bn): 2018</c:v>
                </c:pt>
              </c:strCache>
            </c:strRef>
          </c:tx>
          <c:dPt>
            <c:idx val="0"/>
            <c:bubble3D val="0"/>
            <c:spPr>
              <a:solidFill>
                <a:schemeClr val="tx1"/>
              </a:solidFill>
              <a:ln w="19050">
                <a:solidFill>
                  <a:schemeClr val="lt1"/>
                </a:solidFill>
              </a:ln>
              <a:effectLst/>
            </c:spPr>
            <c:extLst>
              <c:ext xmlns:c16="http://schemas.microsoft.com/office/drawing/2014/chart" uri="{C3380CC4-5D6E-409C-BE32-E72D297353CC}">
                <c16:uniqueId val="{00000002-19A9-477C-8C3B-0CCA485471F7}"/>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9A9-477C-8C3B-0CCA485471F7}"/>
              </c:ext>
            </c:extLst>
          </c:dPt>
          <c:dPt>
            <c:idx val="2"/>
            <c:bubble3D val="0"/>
            <c:spPr>
              <a:solidFill>
                <a:srgbClr val="FD6B6B"/>
              </a:solidFill>
              <a:ln w="19050">
                <a:solidFill>
                  <a:schemeClr val="lt1"/>
                </a:solidFill>
              </a:ln>
              <a:effectLst/>
            </c:spPr>
            <c:extLst>
              <c:ext xmlns:c16="http://schemas.microsoft.com/office/drawing/2014/chart" uri="{C3380CC4-5D6E-409C-BE32-E72D297353CC}">
                <c16:uniqueId val="{00000004-19A9-477C-8C3B-0CCA485471F7}"/>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5-19A9-477C-8C3B-0CCA485471F7}"/>
              </c:ext>
            </c:extLst>
          </c:dPt>
          <c:dPt>
            <c:idx val="4"/>
            <c:bubble3D val="0"/>
            <c:spPr>
              <a:solidFill>
                <a:srgbClr val="002060"/>
              </a:solidFill>
              <a:ln w="19050">
                <a:solidFill>
                  <a:schemeClr val="lt1"/>
                </a:solidFill>
              </a:ln>
              <a:effectLst/>
            </c:spPr>
            <c:extLst>
              <c:ext xmlns:c16="http://schemas.microsoft.com/office/drawing/2014/chart" uri="{C3380CC4-5D6E-409C-BE32-E72D297353CC}">
                <c16:uniqueId val="{00000001-19A9-477C-8C3B-0CCA485471F7}"/>
              </c:ext>
            </c:extLst>
          </c:dPt>
          <c:dPt>
            <c:idx val="5"/>
            <c:bubble3D val="0"/>
            <c:spPr>
              <a:solidFill>
                <a:srgbClr val="C00000"/>
              </a:solidFill>
              <a:ln w="19050">
                <a:solidFill>
                  <a:schemeClr val="lt1"/>
                </a:solidFill>
              </a:ln>
              <a:effectLst/>
            </c:spPr>
            <c:extLst>
              <c:ext xmlns:c16="http://schemas.microsoft.com/office/drawing/2014/chart" uri="{C3380CC4-5D6E-409C-BE32-E72D297353CC}">
                <c16:uniqueId val="{00000006-19A9-477C-8C3B-0CCA485471F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B-19A9-477C-8C3B-0CCA485471F7}"/>
              </c:ext>
            </c:extLst>
          </c:dPt>
          <c:dPt>
            <c:idx val="7"/>
            <c:bubble3D val="0"/>
            <c:spPr>
              <a:solidFill>
                <a:srgbClr val="062B03"/>
              </a:solidFill>
              <a:ln w="19050">
                <a:solidFill>
                  <a:schemeClr val="lt1"/>
                </a:solidFill>
              </a:ln>
              <a:effectLst/>
            </c:spPr>
            <c:extLst>
              <c:ext xmlns:c16="http://schemas.microsoft.com/office/drawing/2014/chart" uri="{C3380CC4-5D6E-409C-BE32-E72D297353CC}">
                <c16:uniqueId val="{00000007-19A9-477C-8C3B-0CCA485471F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66B-4459-9D37-E134D9BA0F0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C-19A9-477C-8C3B-0CCA485471F7}"/>
              </c:ext>
            </c:extLst>
          </c:dPt>
          <c:dPt>
            <c:idx val="10"/>
            <c:bubble3D val="0"/>
            <c:spPr>
              <a:solidFill>
                <a:srgbClr val="FF6600"/>
              </a:solidFill>
              <a:ln w="19050">
                <a:solidFill>
                  <a:schemeClr val="lt1"/>
                </a:solidFill>
              </a:ln>
              <a:effectLst/>
            </c:spPr>
            <c:extLst>
              <c:ext xmlns:c16="http://schemas.microsoft.com/office/drawing/2014/chart" uri="{C3380CC4-5D6E-409C-BE32-E72D297353CC}">
                <c16:uniqueId val="{0000000E-19A9-477C-8C3B-0CCA485471F7}"/>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A-19A9-477C-8C3B-0CCA485471F7}"/>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166B-4459-9D37-E134D9BA0F05}"/>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166B-4459-9D37-E134D9BA0F05}"/>
              </c:ext>
            </c:extLst>
          </c:dPt>
          <c:dPt>
            <c:idx val="14"/>
            <c:bubble3D val="0"/>
            <c:spPr>
              <a:solidFill>
                <a:srgbClr val="D239EB"/>
              </a:solidFill>
              <a:ln w="19050">
                <a:solidFill>
                  <a:schemeClr val="lt1"/>
                </a:solidFill>
              </a:ln>
              <a:effectLst/>
            </c:spPr>
            <c:extLst>
              <c:ext xmlns:c16="http://schemas.microsoft.com/office/drawing/2014/chart" uri="{C3380CC4-5D6E-409C-BE32-E72D297353CC}">
                <c16:uniqueId val="{0000000D-19A9-477C-8C3B-0CCA485471F7}"/>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08-19A9-477C-8C3B-0CCA485471F7}"/>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09-19A9-477C-8C3B-0CCA485471F7}"/>
              </c:ext>
            </c:extLst>
          </c:dPt>
          <c:dLbls>
            <c:dLbl>
              <c:idx val="0"/>
              <c:layout>
                <c:manualLayout>
                  <c:x val="2.5000000000000001E-2"/>
                  <c:y val="-0.1334858886346300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9A9-477C-8C3B-0CCA485471F7}"/>
                </c:ext>
              </c:extLst>
            </c:dLbl>
            <c:dLbl>
              <c:idx val="2"/>
              <c:layout>
                <c:manualLayout>
                  <c:x val="0.10833333333333334"/>
                  <c:y val="-9.15331807780320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9A9-477C-8C3B-0CCA485471F7}"/>
                </c:ext>
              </c:extLst>
            </c:dLbl>
            <c:dLbl>
              <c:idx val="3"/>
              <c:layout>
                <c:manualLayout>
                  <c:x val="9.9999999999999895E-2"/>
                  <c:y val="-4.57665903890160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9A9-477C-8C3B-0CCA485471F7}"/>
                </c:ext>
              </c:extLst>
            </c:dLbl>
            <c:dLbl>
              <c:idx val="6"/>
              <c:layout>
                <c:manualLayout>
                  <c:x val="0.15555555555555556"/>
                  <c:y val="5.33943554538520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9A9-477C-8C3B-0CCA485471F7}"/>
                </c:ext>
              </c:extLst>
            </c:dLbl>
            <c:dLbl>
              <c:idx val="9"/>
              <c:layout>
                <c:manualLayout>
                  <c:x val="-0.10000000000000002"/>
                  <c:y val="8.0091533180778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19A9-477C-8C3B-0CCA485471F7}"/>
                </c:ext>
              </c:extLst>
            </c:dLbl>
            <c:dLbl>
              <c:idx val="11"/>
              <c:layout>
                <c:manualLayout>
                  <c:x val="-8.6111111111111124E-2"/>
                  <c:y val="-9.153318077803203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19A9-477C-8C3B-0CCA485471F7}"/>
                </c:ext>
              </c:extLst>
            </c:dLbl>
            <c:dLbl>
              <c:idx val="15"/>
              <c:layout>
                <c:manualLayout>
                  <c:x val="-4.7222222222222221E-2"/>
                  <c:y val="-0.12967200610221205"/>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9A9-477C-8C3B-0CCA485471F7}"/>
                </c:ext>
              </c:extLst>
            </c:dLbl>
            <c:dLbl>
              <c:idx val="16"/>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19A9-477C-8C3B-0CCA485471F7}"/>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'5. Accession impact'!$A$13:$A$29</c:f>
              <c:strCache>
                <c:ptCount val="17"/>
                <c:pt idx="0">
                  <c:v>Austria</c:v>
                </c:pt>
                <c:pt idx="1">
                  <c:v>Belgium</c:v>
                </c:pt>
                <c:pt idx="2">
                  <c:v>Denmark</c:v>
                </c:pt>
                <c:pt idx="3">
                  <c:v>Finland</c:v>
                </c:pt>
                <c:pt idx="4">
                  <c:v>France</c:v>
                </c:pt>
                <c:pt idx="5">
                  <c:v>Germany</c:v>
                </c:pt>
                <c:pt idx="6">
                  <c:v>Greece</c:v>
                </c:pt>
                <c:pt idx="7">
                  <c:v>Ireland</c:v>
                </c:pt>
                <c:pt idx="8">
                  <c:v>Italy</c:v>
                </c:pt>
                <c:pt idx="9">
                  <c:v>Luxembourg</c:v>
                </c:pt>
                <c:pt idx="10">
                  <c:v>Netherlands</c:v>
                </c:pt>
                <c:pt idx="11">
                  <c:v>Portugal</c:v>
                </c:pt>
                <c:pt idx="12">
                  <c:v>Spain</c:v>
                </c:pt>
                <c:pt idx="13">
                  <c:v>Sweden</c:v>
                </c:pt>
                <c:pt idx="14">
                  <c:v>2004 Accession Countries</c:v>
                </c:pt>
                <c:pt idx="15">
                  <c:v>2007 Accession Countries</c:v>
                </c:pt>
                <c:pt idx="16">
                  <c:v>2014 Accession Country</c:v>
                </c:pt>
              </c:strCache>
            </c:strRef>
          </c:cat>
          <c:val>
            <c:numRef>
              <c:f>'5. Accession impact'!$B$13:$B$29</c:f>
              <c:numCache>
                <c:formatCode>_-[$£-809]* #,##0.0_-;\-[$£-809]* #,##0.0_-;_-[$£-809]* "-"??_-;_-@_-</c:formatCode>
                <c:ptCount val="17"/>
                <c:pt idx="0">
                  <c:v>1.903</c:v>
                </c:pt>
                <c:pt idx="1">
                  <c:v>14.539</c:v>
                </c:pt>
                <c:pt idx="2">
                  <c:v>2.6640000000000001</c:v>
                </c:pt>
                <c:pt idx="3">
                  <c:v>1.321</c:v>
                </c:pt>
                <c:pt idx="4">
                  <c:v>24.483000000000001</c:v>
                </c:pt>
                <c:pt idx="5">
                  <c:v>36.517000000000003</c:v>
                </c:pt>
                <c:pt idx="6">
                  <c:v>1.069</c:v>
                </c:pt>
                <c:pt idx="7">
                  <c:v>22.210999999999999</c:v>
                </c:pt>
                <c:pt idx="8">
                  <c:v>10.7</c:v>
                </c:pt>
                <c:pt idx="9">
                  <c:v>0.152</c:v>
                </c:pt>
                <c:pt idx="10">
                  <c:v>26.486999999999998</c:v>
                </c:pt>
                <c:pt idx="11">
                  <c:v>1.4590000000000001</c:v>
                </c:pt>
                <c:pt idx="12">
                  <c:v>10.388</c:v>
                </c:pt>
                <c:pt idx="13">
                  <c:v>5.5650000000000004</c:v>
                </c:pt>
                <c:pt idx="14" formatCode="_-[$£-809]* #,##0.00_-;\-[$£-809]* #,##0.00_-;_-[$£-809]* &quot;-&quot;??_-;_-@_-">
                  <c:v>11.08</c:v>
                </c:pt>
                <c:pt idx="15" formatCode="_-[$£-809]* #,##0.00_-;\-[$£-809]* #,##0.00_-;_-[$£-809]* &quot;-&quot;??_-;_-@_-">
                  <c:v>1.5229999999999999</c:v>
                </c:pt>
                <c:pt idx="16" formatCode="_-[$£-809]* #,##0.00_-;\-[$£-809]* #,##0.00_-;_-[$£-809]* &quot;-&quot;??_-;_-@_-">
                  <c:v>0.15</c:v>
                </c:pt>
              </c:numCache>
            </c:numRef>
          </c:val>
          <c:extLst>
            <c:ext xmlns:c16="http://schemas.microsoft.com/office/drawing/2014/chart" uri="{C3380CC4-5D6E-409C-BE32-E72D297353CC}">
              <c16:uniqueId val="{00000000-19A9-477C-8C3B-0CCA485471F7}"/>
            </c:ext>
          </c:extLst>
        </c:ser>
        <c:dLbls>
          <c:showLegendKey val="0"/>
          <c:showVal val="0"/>
          <c:showCatName val="0"/>
          <c:showSerName val="0"/>
          <c:showPercent val="1"/>
          <c:showBubbleSize val="0"/>
          <c:showLeaderLines val="1"/>
        </c:dLbls>
        <c:firstSliceAng val="0"/>
        <c:holeSize val="54"/>
      </c:doughnutChart>
      <c:spPr>
        <a:noFill/>
        <a:ln>
          <a:noFill/>
        </a:ln>
        <a:effectLst/>
      </c:spPr>
    </c:plotArea>
    <c:legend>
      <c:legendPos val="b"/>
      <c:layout>
        <c:manualLayout>
          <c:xMode val="edge"/>
          <c:yMode val="edge"/>
          <c:x val="0.60290879265091868"/>
          <c:y val="0.14282719808765321"/>
          <c:w val="0.32751574803149613"/>
          <c:h val="0.834289506717838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 non-EU trade in goods: 1999 – 2018</a:t>
            </a:r>
          </a:p>
        </c:rich>
      </c:tx>
      <c:overlay val="0"/>
      <c:spPr>
        <a:noFill/>
        <a:ln>
          <a:noFill/>
        </a:ln>
        <a:effectLst/>
      </c:spPr>
      <c:txPr>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'2. Trade in Goods'!$A$143</c:f>
              <c:strCache>
                <c:ptCount val="1"/>
                <c:pt idx="0">
                  <c:v>Total goods exports to Non-EU </c:v>
                </c:pt>
              </c:strCache>
            </c:strRef>
          </c:tx>
          <c:spPr>
            <a:solidFill>
              <a:srgbClr val="800000"/>
            </a:solidFill>
            <a:ln>
              <a:solidFill>
                <a:srgbClr val="990000"/>
              </a:solidFill>
            </a:ln>
            <a:effectLst/>
          </c:spPr>
          <c:invertIfNegative val="0"/>
          <c:cat>
            <c:strRef>
              <c:f>'2. Trade in Goods'!$C$142:$V$142</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Goods'!$C$143:$V$143</c:f>
              <c:numCache>
                <c:formatCode>0.000</c:formatCode>
                <c:ptCount val="20"/>
                <c:pt idx="0">
                  <c:v>88.183288409703508</c:v>
                </c:pt>
                <c:pt idx="1">
                  <c:v>100.16578947368421</c:v>
                </c:pt>
                <c:pt idx="2">
                  <c:v>98.813071895424827</c:v>
                </c:pt>
                <c:pt idx="3">
                  <c:v>95.745358090185661</c:v>
                </c:pt>
                <c:pt idx="4">
                  <c:v>100.61488250652742</c:v>
                </c:pt>
                <c:pt idx="5">
                  <c:v>104.45921052631579</c:v>
                </c:pt>
                <c:pt idx="6">
                  <c:v>115.56870229007635</c:v>
                </c:pt>
                <c:pt idx="7">
                  <c:v>114.07240948813984</c:v>
                </c:pt>
                <c:pt idx="8">
                  <c:v>119.12626262626262</c:v>
                </c:pt>
                <c:pt idx="9">
                  <c:v>126.41542002301495</c:v>
                </c:pt>
                <c:pt idx="10">
                  <c:v>112.74944567627495</c:v>
                </c:pt>
                <c:pt idx="11">
                  <c:v>129.11380400421496</c:v>
                </c:pt>
                <c:pt idx="12">
                  <c:v>141.20340681362725</c:v>
                </c:pt>
                <c:pt idx="13">
                  <c:v>147.92245720040282</c:v>
                </c:pt>
                <c:pt idx="14">
                  <c:v>146.96256157635469</c:v>
                </c:pt>
                <c:pt idx="15">
                  <c:v>148.32048681541582</c:v>
                </c:pt>
                <c:pt idx="16">
                  <c:v>162.34146341463415</c:v>
                </c:pt>
                <c:pt idx="17">
                  <c:v>156.36799999999999</c:v>
                </c:pt>
                <c:pt idx="18">
                  <c:v>166.34095238095236</c:v>
                </c:pt>
                <c:pt idx="19">
                  <c:v>165.6824512534819</c:v>
                </c:pt>
              </c:numCache>
            </c:numRef>
          </c:val>
          <c:extLst>
            <c:ext xmlns:c16="http://schemas.microsoft.com/office/drawing/2014/chart" uri="{C3380CC4-5D6E-409C-BE32-E72D297353CC}">
              <c16:uniqueId val="{00000000-7286-4A52-B1D1-83CB23E33CB5}"/>
            </c:ext>
          </c:extLst>
        </c:ser>
        <c:ser>
          <c:idx val="1"/>
          <c:order val="1"/>
          <c:tx>
            <c:strRef>
              <c:f>'2. Trade in Goods'!$A$144</c:f>
              <c:strCache>
                <c:ptCount val="1"/>
                <c:pt idx="0">
                  <c:v>Total goods imports from Non-EU</c:v>
                </c:pt>
              </c:strCache>
            </c:strRef>
          </c:tx>
          <c:spPr>
            <a:solidFill>
              <a:srgbClr val="002060"/>
            </a:solidFill>
            <a:ln>
              <a:noFill/>
            </a:ln>
            <a:effectLst/>
          </c:spPr>
          <c:invertIfNegative val="0"/>
          <c:cat>
            <c:strRef>
              <c:f>'2. Trade in Goods'!$C$142:$V$142</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Goods'!$C$144:$V$144</c:f>
              <c:numCache>
                <c:formatCode>0.000</c:formatCode>
                <c:ptCount val="20"/>
                <c:pt idx="0">
                  <c:v>108.00000000000001</c:v>
                </c:pt>
                <c:pt idx="1">
                  <c:v>128.70379436964504</c:v>
                </c:pt>
                <c:pt idx="2">
                  <c:v>128.77205882352942</c:v>
                </c:pt>
                <c:pt idx="3">
                  <c:v>122.9609079445145</c:v>
                </c:pt>
                <c:pt idx="4">
                  <c:v>126.2191435768262</c:v>
                </c:pt>
                <c:pt idx="5">
                  <c:v>138.80459770114945</c:v>
                </c:pt>
                <c:pt idx="6">
                  <c:v>151.61234567901232</c:v>
                </c:pt>
                <c:pt idx="7">
                  <c:v>164.91095066185321</c:v>
                </c:pt>
                <c:pt idx="8">
                  <c:v>167.96650717703349</c:v>
                </c:pt>
                <c:pt idx="9">
                  <c:v>171.59744408945684</c:v>
                </c:pt>
                <c:pt idx="10">
                  <c:v>153.90501043841337</c:v>
                </c:pt>
                <c:pt idx="11">
                  <c:v>175.97681451612902</c:v>
                </c:pt>
                <c:pt idx="12">
                  <c:v>183.20640904806788</c:v>
                </c:pt>
                <c:pt idx="13">
                  <c:v>187.3599240265907</c:v>
                </c:pt>
                <c:pt idx="14">
                  <c:v>188.73565380997178</c:v>
                </c:pt>
                <c:pt idx="15">
                  <c:v>187.42296368989204</c:v>
                </c:pt>
                <c:pt idx="16">
                  <c:v>191.70833333333334</c:v>
                </c:pt>
                <c:pt idx="17">
                  <c:v>194.65799999999999</c:v>
                </c:pt>
                <c:pt idx="18">
                  <c:v>205.85104364326375</c:v>
                </c:pt>
                <c:pt idx="19">
                  <c:v>205.41528545119706</c:v>
                </c:pt>
              </c:numCache>
            </c:numRef>
          </c:val>
          <c:extLst>
            <c:ext xmlns:c16="http://schemas.microsoft.com/office/drawing/2014/chart" uri="{C3380CC4-5D6E-409C-BE32-E72D297353CC}">
              <c16:uniqueId val="{00000001-7286-4A52-B1D1-83CB23E33CB5}"/>
            </c:ext>
          </c:extLst>
        </c:ser>
        <c:ser>
          <c:idx val="2"/>
          <c:order val="2"/>
          <c:tx>
            <c:strRef>
              <c:f>'2. Trade in Goods'!$A$145</c:f>
              <c:strCache>
                <c:ptCount val="1"/>
                <c:pt idx="0">
                  <c:v>Balance</c:v>
                </c:pt>
              </c:strCache>
            </c:strRef>
          </c:tx>
          <c:spPr>
            <a:solidFill>
              <a:schemeClr val="accent3"/>
            </a:solidFill>
            <a:ln>
              <a:solidFill>
                <a:schemeClr val="bg2">
                  <a:lumMod val="25000"/>
                </a:schemeClr>
              </a:solidFill>
            </a:ln>
            <a:effectLst/>
          </c:spPr>
          <c:invertIfNegative val="0"/>
          <c:cat>
            <c:strRef>
              <c:f>'2. Trade in Goods'!$C$142:$V$142</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Goods'!$C$145:$V$145</c:f>
              <c:numCache>
                <c:formatCode>0.00</c:formatCode>
                <c:ptCount val="20"/>
                <c:pt idx="0">
                  <c:v>-19.816711590296507</c:v>
                </c:pt>
                <c:pt idx="1">
                  <c:v>-28.538004895960825</c:v>
                </c:pt>
                <c:pt idx="2">
                  <c:v>-29.958986928104594</c:v>
                </c:pt>
                <c:pt idx="3">
                  <c:v>-27.215549854328842</c:v>
                </c:pt>
                <c:pt idx="4">
                  <c:v>-25.604261070298776</c:v>
                </c:pt>
                <c:pt idx="5">
                  <c:v>-34.345387174833661</c:v>
                </c:pt>
                <c:pt idx="6">
                  <c:v>-36.043643388935976</c:v>
                </c:pt>
                <c:pt idx="7">
                  <c:v>-50.838541173713367</c:v>
                </c:pt>
                <c:pt idx="8">
                  <c:v>-48.840244550770876</c:v>
                </c:pt>
                <c:pt idx="9">
                  <c:v>-45.182024066441898</c:v>
                </c:pt>
                <c:pt idx="10">
                  <c:v>-41.155564762138425</c:v>
                </c:pt>
                <c:pt idx="11">
                  <c:v>-46.863010511914069</c:v>
                </c:pt>
                <c:pt idx="12">
                  <c:v>-42.003002234440629</c:v>
                </c:pt>
                <c:pt idx="13">
                  <c:v>-39.437466826187887</c:v>
                </c:pt>
                <c:pt idx="14">
                  <c:v>-41.773092233617092</c:v>
                </c:pt>
                <c:pt idx="15">
                  <c:v>-39.102476874476224</c:v>
                </c:pt>
                <c:pt idx="16">
                  <c:v>-29.366869918699194</c:v>
                </c:pt>
                <c:pt idx="17">
                  <c:v>-38.289999999999992</c:v>
                </c:pt>
                <c:pt idx="18" formatCode="_-[$£-809]* #,##0.00_-;\-[$£-809]* #,##0.00_-;_-[$£-809]* &quot;-&quot;??_-;_-@_-">
                  <c:v>-39.510091262311391</c:v>
                </c:pt>
                <c:pt idx="19">
                  <c:v>-39.732834197715164</c:v>
                </c:pt>
              </c:numCache>
            </c:numRef>
          </c:val>
          <c:extLst>
            <c:ext xmlns:c16="http://schemas.microsoft.com/office/drawing/2014/chart" uri="{C3380CC4-5D6E-409C-BE32-E72D297353CC}">
              <c16:uniqueId val="{00000002-7286-4A52-B1D1-83CB23E33CB5}"/>
            </c:ext>
          </c:extLst>
        </c:ser>
        <c:dLbls>
          <c:showLegendKey val="0"/>
          <c:showVal val="0"/>
          <c:showCatName val="0"/>
          <c:showSerName val="0"/>
          <c:showPercent val="0"/>
          <c:showBubbleSize val="0"/>
        </c:dLbls>
        <c:gapWidth val="219"/>
        <c:overlap val="-27"/>
        <c:axId val="516911408"/>
        <c:axId val="516909768"/>
      </c:barChart>
      <c:catAx>
        <c:axId val="51691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16909768"/>
        <c:crosses val="autoZero"/>
        <c:auto val="1"/>
        <c:lblAlgn val="ctr"/>
        <c:lblOffset val="700"/>
        <c:noMultiLvlLbl val="0"/>
      </c:catAx>
      <c:valAx>
        <c:axId val="516909768"/>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911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AU" sz="1400" b="1" i="0" u="none" strike="noStrike" kern="1200" spc="0" baseline="0">
                <a:solidFill>
                  <a:schemeClr val="tx1">
                    <a:lumMod val="75000"/>
                    <a:lumOff val="25000"/>
                  </a:schemeClr>
                </a:solidFill>
                <a:latin typeface="+mn-lt"/>
                <a:ea typeface="+mn-ea"/>
                <a:cs typeface="+mn-cs"/>
              </a:defRPr>
            </a:pPr>
            <a:r>
              <a:rPr lang="en-AU" sz="1400" b="1" i="0" u="none" strike="noStrike" kern="1200" spc="0" baseline="0">
                <a:solidFill>
                  <a:schemeClr val="tx1">
                    <a:lumMod val="75000"/>
                    <a:lumOff val="25000"/>
                  </a:schemeClr>
                </a:solidFill>
                <a:latin typeface="+mn-lt"/>
                <a:ea typeface="+mn-ea"/>
                <a:cs typeface="+mn-cs"/>
              </a:rPr>
              <a:t>Change in EU's share of UK trade in goods</a:t>
            </a:r>
          </a:p>
        </c:rich>
      </c:tx>
      <c:overlay val="0"/>
      <c:spPr>
        <a:noFill/>
        <a:ln>
          <a:noFill/>
        </a:ln>
        <a:effectLst/>
      </c:spPr>
      <c:txPr>
        <a:bodyPr rot="0" spcFirstLastPara="1" vertOverflow="ellipsis" vert="horz" wrap="square" anchor="ctr" anchorCtr="1"/>
        <a:lstStyle/>
        <a:p>
          <a:pPr algn="ctr" rtl="0">
            <a:defRPr lang="en-AU"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8.0346603870777841E-2"/>
          <c:y val="0.13588235294117648"/>
          <c:w val="0.89395246154978292"/>
          <c:h val="0.63092584015233388"/>
        </c:manualLayout>
      </c:layout>
      <c:barChart>
        <c:barDir val="col"/>
        <c:grouping val="clustered"/>
        <c:varyColors val="0"/>
        <c:ser>
          <c:idx val="0"/>
          <c:order val="0"/>
          <c:tx>
            <c:strRef>
              <c:f>'2. Trade in Goods'!$B$84</c:f>
              <c:strCache>
                <c:ptCount val="1"/>
                <c:pt idx="0">
                  <c:v>1998</c:v>
                </c:pt>
              </c:strCache>
            </c:strRef>
          </c:tx>
          <c:spPr>
            <a:solidFill>
              <a:srgbClr val="990000"/>
            </a:solidFill>
            <a:ln w="6350">
              <a:solidFill>
                <a:srgbClr val="990000"/>
              </a:solidFill>
            </a:ln>
            <a:effectLst/>
          </c:spPr>
          <c:invertIfNegative val="0"/>
          <c:dPt>
            <c:idx val="0"/>
            <c:invertIfNegative val="0"/>
            <c:bubble3D val="0"/>
            <c:spPr>
              <a:solidFill>
                <a:srgbClr val="990000"/>
              </a:solidFill>
              <a:ln w="6350">
                <a:solidFill>
                  <a:srgbClr val="990000"/>
                </a:solidFill>
              </a:ln>
              <a:effectLst/>
            </c:spPr>
            <c:extLst>
              <c:ext xmlns:c16="http://schemas.microsoft.com/office/drawing/2014/chart" uri="{C3380CC4-5D6E-409C-BE32-E72D297353CC}">
                <c16:uniqueId val="{00000001-40C3-498D-A331-4DAC187E989F}"/>
              </c:ext>
            </c:extLst>
          </c:dPt>
          <c:dLbls>
            <c:spPr>
              <a:noFill/>
              <a:ln>
                <a:noFill/>
              </a:ln>
              <a:effectLst/>
            </c:spPr>
            <c:txPr>
              <a:bodyPr rot="0" spcFirstLastPara="1" vertOverflow="ellipsis" vert="horz" wrap="square" anchor="ctr" anchorCtr="0"/>
              <a:lstStyle/>
              <a:p>
                <a:pPr algn="ctr">
                  <a:defRPr lang="en-AU"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Goods'!$A$85:$A$86</c:f>
              <c:strCache>
                <c:ptCount val="2"/>
                <c:pt idx="0">
                  <c:v>Exports</c:v>
                </c:pt>
                <c:pt idx="1">
                  <c:v>Imports</c:v>
                </c:pt>
              </c:strCache>
            </c:strRef>
          </c:cat>
          <c:val>
            <c:numRef>
              <c:f>'2. Trade in Goods'!$B$85:$B$86</c:f>
              <c:numCache>
                <c:formatCode>0.0%</c:formatCode>
                <c:ptCount val="2"/>
                <c:pt idx="0">
                  <c:v>0.60254985653397264</c:v>
                </c:pt>
                <c:pt idx="1">
                  <c:v>0.54623251445197463</c:v>
                </c:pt>
              </c:numCache>
            </c:numRef>
          </c:val>
          <c:extLst>
            <c:ext xmlns:c16="http://schemas.microsoft.com/office/drawing/2014/chart" uri="{C3380CC4-5D6E-409C-BE32-E72D297353CC}">
              <c16:uniqueId val="{00000002-40C3-498D-A331-4DAC187E989F}"/>
            </c:ext>
          </c:extLst>
        </c:ser>
        <c:ser>
          <c:idx val="1"/>
          <c:order val="1"/>
          <c:tx>
            <c:strRef>
              <c:f>'2. Trade in Goods'!$C$84</c:f>
              <c:strCache>
                <c:ptCount val="1"/>
                <c:pt idx="0">
                  <c:v>2018</c:v>
                </c:pt>
              </c:strCache>
            </c:strRef>
          </c:tx>
          <c:spPr>
            <a:solidFill>
              <a:srgbClr val="002060"/>
            </a:solidFill>
            <a:ln w="9525">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Goods'!$A$85:$A$86</c:f>
              <c:strCache>
                <c:ptCount val="2"/>
                <c:pt idx="0">
                  <c:v>Exports</c:v>
                </c:pt>
                <c:pt idx="1">
                  <c:v>Imports</c:v>
                </c:pt>
              </c:strCache>
            </c:strRef>
          </c:cat>
          <c:val>
            <c:numRef>
              <c:f>'2. Trade in Goods'!$C$85:$C$86</c:f>
              <c:numCache>
                <c:formatCode>0.0%</c:formatCode>
                <c:ptCount val="2"/>
                <c:pt idx="0">
                  <c:v>0.48441826747735051</c:v>
                </c:pt>
                <c:pt idx="1">
                  <c:v>0.54549903074723272</c:v>
                </c:pt>
              </c:numCache>
            </c:numRef>
          </c:val>
          <c:extLst>
            <c:ext xmlns:c16="http://schemas.microsoft.com/office/drawing/2014/chart" uri="{C3380CC4-5D6E-409C-BE32-E72D297353CC}">
              <c16:uniqueId val="{00000003-40C3-498D-A331-4DAC187E989F}"/>
            </c:ext>
          </c:extLst>
        </c:ser>
        <c:dLbls>
          <c:dLblPos val="inEnd"/>
          <c:showLegendKey val="0"/>
          <c:showVal val="1"/>
          <c:showCatName val="0"/>
          <c:showSerName val="0"/>
          <c:showPercent val="0"/>
          <c:showBubbleSize val="0"/>
        </c:dLbls>
        <c:gapWidth val="219"/>
        <c:overlap val="-27"/>
        <c:axId val="608408488"/>
        <c:axId val="608408816"/>
      </c:barChart>
      <c:catAx>
        <c:axId val="608408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608408816"/>
        <c:crosses val="autoZero"/>
        <c:auto val="1"/>
        <c:lblAlgn val="ctr"/>
        <c:lblOffset val="100"/>
        <c:noMultiLvlLbl val="0"/>
      </c:catAx>
      <c:valAx>
        <c:axId val="608408816"/>
        <c:scaling>
          <c:orientation val="minMax"/>
          <c:max val="0.7500000000000001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08408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50"/>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UK Goods</a:t>
            </a:r>
            <a:r>
              <a:rPr lang="en-AU" b="1" baseline="0"/>
              <a:t> Exports (</a:t>
            </a:r>
            <a:r>
              <a:rPr lang="en-AU" b="1" baseline="0">
                <a:latin typeface="Calibri" panose="020F0502020204030204" pitchFamily="34" charset="0"/>
                <a:cs typeface="Calibri" panose="020F0502020204030204" pitchFamily="34" charset="0"/>
              </a:rPr>
              <a:t>£bn)</a:t>
            </a:r>
            <a:r>
              <a:rPr lang="en-AU" b="1"/>
              <a:t>:</a:t>
            </a:r>
            <a:r>
              <a:rPr lang="en-AU" b="1" baseline="0"/>
              <a:t> 2016</a:t>
            </a:r>
            <a:endParaRPr lang="en-AU" b="1"/>
          </a:p>
        </c:rich>
      </c:tx>
      <c:layout>
        <c:manualLayout>
          <c:xMode val="edge"/>
          <c:yMode val="edge"/>
          <c:x val="0.31701932552461232"/>
          <c:y val="5.452612366820196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40443036384538E-2"/>
          <c:y val="0.11879106328960058"/>
          <c:w val="0.85947964673707122"/>
          <c:h val="0.42409824155541392"/>
        </c:manualLayout>
      </c:layout>
      <c:barChart>
        <c:barDir val="bar"/>
        <c:grouping val="stacked"/>
        <c:varyColors val="0"/>
        <c:ser>
          <c:idx val="0"/>
          <c:order val="0"/>
          <c:tx>
            <c:strRef>
              <c:f>'2. Trade in Goods'!$A$11</c:f>
              <c:strCache>
                <c:ptCount val="1"/>
                <c:pt idx="0">
                  <c:v>Motor vehicles</c:v>
                </c:pt>
              </c:strCache>
            </c:strRef>
          </c:tx>
          <c:spPr>
            <a:solidFill>
              <a:schemeClr val="accent1">
                <a:lumMod val="50000"/>
              </a:schemeClr>
            </a:solidFill>
            <a:ln w="12700">
              <a:solidFill>
                <a:schemeClr val="tx1">
                  <a:lumMod val="95000"/>
                  <a:lumOff val="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Goods'!$B$11:$C$11</c:f>
              <c:numCache>
                <c:formatCode>_-[$£-809]* #,##0.0_-;\-[$£-809]* #,##0.0_-;_-[$£-809]* "-"??_-;_-@_-</c:formatCode>
                <c:ptCount val="2"/>
                <c:pt idx="0">
                  <c:v>18.52</c:v>
                </c:pt>
                <c:pt idx="1">
                  <c:v>25.84</c:v>
                </c:pt>
              </c:numCache>
            </c:numRef>
          </c:val>
          <c:extLst>
            <c:ext xmlns:c16="http://schemas.microsoft.com/office/drawing/2014/chart" uri="{C3380CC4-5D6E-409C-BE32-E72D297353CC}">
              <c16:uniqueId val="{00000000-8FF6-467F-9FDC-623F964F396D}"/>
            </c:ext>
          </c:extLst>
        </c:ser>
        <c:ser>
          <c:idx val="1"/>
          <c:order val="1"/>
          <c:tx>
            <c:strRef>
              <c:f>'2. Trade in Goods'!$A$12</c:f>
              <c:strCache>
                <c:ptCount val="1"/>
                <c:pt idx="0">
                  <c:v>Transport equipmany (inc. aerospace)</c:v>
                </c:pt>
              </c:strCache>
            </c:strRef>
          </c:tx>
          <c:spPr>
            <a:solidFill>
              <a:srgbClr val="990000"/>
            </a:solidFill>
            <a:ln w="12700">
              <a:solidFill>
                <a:srgbClr val="45070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Goods'!$B$12:$C$12</c:f>
              <c:numCache>
                <c:formatCode>_-[$£-809]* #,##0.0_-;\-[$£-809]* #,##0.0_-;_-[$£-809]* "-"??_-;_-@_-</c:formatCode>
                <c:ptCount val="2"/>
                <c:pt idx="0">
                  <c:v>12.85</c:v>
                </c:pt>
                <c:pt idx="1">
                  <c:v>23.63</c:v>
                </c:pt>
              </c:numCache>
            </c:numRef>
          </c:val>
          <c:extLst>
            <c:ext xmlns:c16="http://schemas.microsoft.com/office/drawing/2014/chart" uri="{C3380CC4-5D6E-409C-BE32-E72D297353CC}">
              <c16:uniqueId val="{00000001-8FF6-467F-9FDC-623F964F396D}"/>
            </c:ext>
          </c:extLst>
        </c:ser>
        <c:ser>
          <c:idx val="2"/>
          <c:order val="2"/>
          <c:tx>
            <c:strRef>
              <c:f>'2. Trade in Goods'!$A$13</c:f>
              <c:strCache>
                <c:ptCount val="1"/>
                <c:pt idx="0">
                  <c:v>Machinery</c:v>
                </c:pt>
              </c:strCache>
            </c:strRef>
          </c:tx>
          <c:spPr>
            <a:solidFill>
              <a:schemeClr val="accent1">
                <a:lumMod val="75000"/>
              </a:schemeClr>
            </a:solidFill>
            <a:ln w="12700">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Goods'!$B$13:$C$13</c:f>
              <c:numCache>
                <c:formatCode>_-[$£-809]* #,##0.0_-;\-[$£-809]* #,##0.0_-;_-[$£-809]* "-"??_-;_-@_-</c:formatCode>
                <c:ptCount val="2"/>
                <c:pt idx="0">
                  <c:v>14.29</c:v>
                </c:pt>
                <c:pt idx="1">
                  <c:v>18.84</c:v>
                </c:pt>
              </c:numCache>
            </c:numRef>
          </c:val>
          <c:extLst>
            <c:ext xmlns:c16="http://schemas.microsoft.com/office/drawing/2014/chart" uri="{C3380CC4-5D6E-409C-BE32-E72D297353CC}">
              <c16:uniqueId val="{00000002-8FF6-467F-9FDC-623F964F396D}"/>
            </c:ext>
          </c:extLst>
        </c:ser>
        <c:ser>
          <c:idx val="3"/>
          <c:order val="3"/>
          <c:tx>
            <c:strRef>
              <c:f>'2. Trade in Goods'!$A$14</c:f>
              <c:strCache>
                <c:ptCount val="1"/>
                <c:pt idx="0">
                  <c:v>Chemicals</c:v>
                </c:pt>
              </c:strCache>
            </c:strRef>
          </c:tx>
          <c:spPr>
            <a:solidFill>
              <a:srgbClr val="F24848"/>
            </a:solidFill>
            <a:ln w="12700">
              <a:solidFill>
                <a:srgbClr val="C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Goods'!$B$14:$C$14</c:f>
              <c:numCache>
                <c:formatCode>_-[$£-809]* #,##0.0_-;\-[$£-809]* #,##0.0_-;_-[$£-809]* "-"??_-;_-@_-</c:formatCode>
                <c:ptCount val="2"/>
                <c:pt idx="0">
                  <c:v>18.34</c:v>
                </c:pt>
                <c:pt idx="1">
                  <c:v>11.76</c:v>
                </c:pt>
              </c:numCache>
            </c:numRef>
          </c:val>
          <c:extLst>
            <c:ext xmlns:c16="http://schemas.microsoft.com/office/drawing/2014/chart" uri="{C3380CC4-5D6E-409C-BE32-E72D297353CC}">
              <c16:uniqueId val="{00000003-8FF6-467F-9FDC-623F964F396D}"/>
            </c:ext>
          </c:extLst>
        </c:ser>
        <c:ser>
          <c:idx val="4"/>
          <c:order val="4"/>
          <c:tx>
            <c:strRef>
              <c:f>'2. Trade in Goods'!$A$16</c:f>
              <c:strCache>
                <c:ptCount val="1"/>
                <c:pt idx="0">
                  <c:v>Pharmaceuticals</c:v>
                </c:pt>
              </c:strCache>
            </c:strRef>
          </c:tx>
          <c:spPr>
            <a:solidFill>
              <a:schemeClr val="accent1">
                <a:lumMod val="60000"/>
                <a:lumOff val="40000"/>
              </a:schemeClr>
            </a:solidFill>
            <a:ln w="12700">
              <a:solidFill>
                <a:schemeClr val="accent1">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Goods'!$B$16:$C$16</c:f>
              <c:numCache>
                <c:formatCode>_-[$£-809]* #,##0.0_-;\-[$£-809]* #,##0.0_-;_-[$£-809]* "-"??_-;_-@_-</c:formatCode>
                <c:ptCount val="2"/>
                <c:pt idx="0">
                  <c:v>11.14</c:v>
                </c:pt>
                <c:pt idx="1">
                  <c:v>14.42</c:v>
                </c:pt>
              </c:numCache>
            </c:numRef>
          </c:val>
          <c:extLst>
            <c:ext xmlns:c16="http://schemas.microsoft.com/office/drawing/2014/chart" uri="{C3380CC4-5D6E-409C-BE32-E72D297353CC}">
              <c16:uniqueId val="{00000004-8FF6-467F-9FDC-623F964F396D}"/>
            </c:ext>
          </c:extLst>
        </c:ser>
        <c:ser>
          <c:idx val="5"/>
          <c:order val="5"/>
          <c:tx>
            <c:strRef>
              <c:f>'2. Trade in Goods'!#REF!</c:f>
              <c:strCache>
                <c:ptCount val="1"/>
                <c:pt idx="0">
                  <c:v>#REF!</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Goods'!#REF!</c:f>
              <c:numCache>
                <c:formatCode>General</c:formatCode>
                <c:ptCount val="1"/>
                <c:pt idx="0">
                  <c:v>1</c:v>
                </c:pt>
              </c:numCache>
            </c:numRef>
          </c:val>
          <c:extLst>
            <c:ext xmlns:c16="http://schemas.microsoft.com/office/drawing/2014/chart" uri="{C3380CC4-5D6E-409C-BE32-E72D297353CC}">
              <c16:uniqueId val="{00000005-8FF6-467F-9FDC-623F964F396D}"/>
            </c:ext>
          </c:extLst>
        </c:ser>
        <c:ser>
          <c:idx val="6"/>
          <c:order val="6"/>
          <c:tx>
            <c:strRef>
              <c:f>'2. Trade in Goods'!$A$17</c:f>
              <c:strCache>
                <c:ptCount val="1"/>
                <c:pt idx="0">
                  <c:v>Basic metals</c:v>
                </c:pt>
              </c:strCache>
            </c:strRef>
          </c:tx>
          <c:spPr>
            <a:solidFill>
              <a:srgbClr val="062B03"/>
            </a:solidFill>
            <a:ln w="12700">
              <a:solidFill>
                <a:sysClr val="windowText" lastClr="000000"/>
              </a:solidFill>
            </a:ln>
            <a:effectLst/>
          </c:spPr>
          <c:invertIfNegative val="0"/>
          <c:dLbls>
            <c:dLbl>
              <c:idx val="0"/>
              <c:layout>
                <c:manualLayout>
                  <c:x val="-6.9094686034136717E-17"/>
                  <c:y val="1.51133531234957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F6-467F-9FDC-623F964F396D}"/>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Goods'!$B$17:$C$17</c:f>
              <c:numCache>
                <c:formatCode>_-[$£-809]* #,##0.0_-;\-[$£-809]* #,##0.0_-;_-[$£-809]* "-"??_-;_-@_-</c:formatCode>
                <c:ptCount val="2"/>
                <c:pt idx="0">
                  <c:v>7.36</c:v>
                </c:pt>
                <c:pt idx="1">
                  <c:v>9.42</c:v>
                </c:pt>
              </c:numCache>
            </c:numRef>
          </c:val>
          <c:extLst>
            <c:ext xmlns:c16="http://schemas.microsoft.com/office/drawing/2014/chart" uri="{C3380CC4-5D6E-409C-BE32-E72D297353CC}">
              <c16:uniqueId val="{00000007-8FF6-467F-9FDC-623F964F396D}"/>
            </c:ext>
          </c:extLst>
        </c:ser>
        <c:ser>
          <c:idx val="7"/>
          <c:order val="7"/>
          <c:tx>
            <c:strRef>
              <c:f>'2. Trade in Goods'!$A$18</c:f>
              <c:strCache>
                <c:ptCount val="1"/>
                <c:pt idx="0">
                  <c:v>Food products</c:v>
                </c:pt>
              </c:strCache>
            </c:strRef>
          </c:tx>
          <c:spPr>
            <a:solidFill>
              <a:schemeClr val="accent6">
                <a:lumMod val="75000"/>
              </a:schemeClr>
            </a:solidFill>
            <a:ln w="12700">
              <a:solidFill>
                <a:schemeClr val="tx1">
                  <a:lumMod val="95000"/>
                  <a:lumOff val="5000"/>
                </a:schemeClr>
              </a:solidFill>
            </a:ln>
            <a:effectLst/>
          </c:spPr>
          <c:invertIfNegative val="0"/>
          <c:dLbls>
            <c:dLbl>
              <c:idx val="0"/>
              <c:layout>
                <c:manualLayout>
                  <c:x val="-6.9094686034136717E-17"/>
                  <c:y val="-2.64480704591662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F6-467F-9FDC-623F964F396D}"/>
                </c:ext>
              </c:extLst>
            </c:dLbl>
            <c:dLbl>
              <c:idx val="1"/>
              <c:delete val="1"/>
              <c:extLst>
                <c:ext xmlns:c15="http://schemas.microsoft.com/office/drawing/2012/chart" uri="{CE6537A1-D6FC-4f65-9D91-7224C49458BB}"/>
                <c:ext xmlns:c16="http://schemas.microsoft.com/office/drawing/2014/chart" uri="{C3380CC4-5D6E-409C-BE32-E72D297353CC}">
                  <c16:uniqueId val="{00000009-8FF6-467F-9FDC-623F964F396D}"/>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Goods'!$B$18:$C$18</c:f>
              <c:numCache>
                <c:formatCode>_-[$£-809]* #,##0.0_-;\-[$£-809]* #,##0.0_-;_-[$£-809]* "-"??_-;_-@_-</c:formatCode>
                <c:ptCount val="2"/>
                <c:pt idx="0">
                  <c:v>9.7799999999999994</c:v>
                </c:pt>
                <c:pt idx="1">
                  <c:v>3.68</c:v>
                </c:pt>
              </c:numCache>
            </c:numRef>
          </c:val>
          <c:extLst>
            <c:ext xmlns:c16="http://schemas.microsoft.com/office/drawing/2014/chart" uri="{C3380CC4-5D6E-409C-BE32-E72D297353CC}">
              <c16:uniqueId val="{0000000A-8FF6-467F-9FDC-623F964F396D}"/>
            </c:ext>
          </c:extLst>
        </c:ser>
        <c:ser>
          <c:idx val="8"/>
          <c:order val="8"/>
          <c:tx>
            <c:strRef>
              <c:f>'2. Trade in Goods'!$A$19</c:f>
              <c:strCache>
                <c:ptCount val="1"/>
                <c:pt idx="0">
                  <c:v>Electrical goods</c:v>
                </c:pt>
              </c:strCache>
            </c:strRef>
          </c:tx>
          <c:spPr>
            <a:solidFill>
              <a:schemeClr val="accent6">
                <a:lumMod val="60000"/>
                <a:lumOff val="40000"/>
              </a:schemeClr>
            </a:solidFill>
            <a:ln w="12700">
              <a:solidFill>
                <a:schemeClr val="accent6">
                  <a:lumMod val="50000"/>
                </a:schemeClr>
              </a:solidFill>
            </a:ln>
            <a:effectLst/>
          </c:spPr>
          <c:invertIfNegative val="0"/>
          <c:dLbls>
            <c:dLbl>
              <c:idx val="0"/>
              <c:layout>
                <c:manualLayout>
                  <c:x val="-1.4563468381619553E-3"/>
                  <c:y val="1.5113948137398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FF6-467F-9FDC-623F964F396D}"/>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Goods'!$B$19:$C$19</c:f>
              <c:numCache>
                <c:formatCode>_-[$£-809]* #,##0.0_-;\-[$£-809]* #,##0.0_-;_-[$£-809]* "-"??_-;_-@_-</c:formatCode>
                <c:ptCount val="2"/>
                <c:pt idx="0">
                  <c:v>5.81</c:v>
                </c:pt>
                <c:pt idx="1">
                  <c:v>6.54</c:v>
                </c:pt>
              </c:numCache>
            </c:numRef>
          </c:val>
          <c:extLst>
            <c:ext xmlns:c16="http://schemas.microsoft.com/office/drawing/2014/chart" uri="{C3380CC4-5D6E-409C-BE32-E72D297353CC}">
              <c16:uniqueId val="{0000000C-8FF6-467F-9FDC-623F964F396D}"/>
            </c:ext>
          </c:extLst>
        </c:ser>
        <c:ser>
          <c:idx val="9"/>
          <c:order val="9"/>
          <c:tx>
            <c:strRef>
              <c:f>'2. Trade in Goods'!$A$20</c:f>
              <c:strCache>
                <c:ptCount val="1"/>
                <c:pt idx="0">
                  <c:v>Beverages</c:v>
                </c:pt>
              </c:strCache>
            </c:strRef>
          </c:tx>
          <c:spPr>
            <a:solidFill>
              <a:schemeClr val="accent4">
                <a:lumMod val="60000"/>
                <a:lumOff val="40000"/>
              </a:schemeClr>
            </a:solidFill>
            <a:ln w="12700">
              <a:solidFill>
                <a:schemeClr val="accent4">
                  <a:lumMod val="50000"/>
                </a:schemeClr>
              </a:solidFill>
            </a:ln>
            <a:effectLst/>
          </c:spPr>
          <c:invertIfNegative val="0"/>
          <c:dLbls>
            <c:delete val="1"/>
          </c:dLbls>
          <c:cat>
            <c:strRef>
              <c:f>'2. Trade in Goods'!$B$10:$C$10</c:f>
              <c:strCache>
                <c:ptCount val="2"/>
                <c:pt idx="0">
                  <c:v>EU</c:v>
                </c:pt>
                <c:pt idx="1">
                  <c:v>non-EU</c:v>
                </c:pt>
              </c:strCache>
            </c:strRef>
          </c:cat>
          <c:val>
            <c:numRef>
              <c:f>'2. Trade in Goods'!$B$20:$C$20</c:f>
              <c:numCache>
                <c:formatCode>_-[$£-809]* #,##0.0_-;\-[$£-809]* #,##0.0_-;_-[$£-809]* "-"??_-;_-@_-</c:formatCode>
                <c:ptCount val="2"/>
                <c:pt idx="0">
                  <c:v>2.95</c:v>
                </c:pt>
                <c:pt idx="1">
                  <c:v>5.25</c:v>
                </c:pt>
              </c:numCache>
            </c:numRef>
          </c:val>
          <c:extLst>
            <c:ext xmlns:c16="http://schemas.microsoft.com/office/drawing/2014/chart" uri="{C3380CC4-5D6E-409C-BE32-E72D297353CC}">
              <c16:uniqueId val="{0000000D-8FF6-467F-9FDC-623F964F396D}"/>
            </c:ext>
          </c:extLst>
        </c:ser>
        <c:ser>
          <c:idx val="10"/>
          <c:order val="10"/>
          <c:tx>
            <c:strRef>
              <c:f>'2. Trade in Goods'!$A$21</c:f>
              <c:strCache>
                <c:ptCount val="1"/>
                <c:pt idx="0">
                  <c:v>Other manufactured products</c:v>
                </c:pt>
              </c:strCache>
            </c:strRef>
          </c:tx>
          <c:spPr>
            <a:solidFill>
              <a:schemeClr val="accent4">
                <a:lumMod val="75000"/>
              </a:schemeClr>
            </a:solidFill>
            <a:ln w="12700">
              <a:solidFill>
                <a:schemeClr val="accent4">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Goods'!$B$21:$C$21</c:f>
              <c:numCache>
                <c:formatCode>_-[$£-809]* #,##0.0_-;\-[$£-809]* #,##0.0_-;_-[$£-809]* "-"??_-;_-@_-</c:formatCode>
                <c:ptCount val="2"/>
                <c:pt idx="0">
                  <c:v>36.86</c:v>
                </c:pt>
                <c:pt idx="1">
                  <c:v>24.642999999999972</c:v>
                </c:pt>
              </c:numCache>
            </c:numRef>
          </c:val>
          <c:extLst>
            <c:ext xmlns:c16="http://schemas.microsoft.com/office/drawing/2014/chart" uri="{C3380CC4-5D6E-409C-BE32-E72D297353CC}">
              <c16:uniqueId val="{0000000E-8FF6-467F-9FDC-623F964F396D}"/>
            </c:ext>
          </c:extLst>
        </c:ser>
        <c:ser>
          <c:idx val="11"/>
          <c:order val="11"/>
          <c:tx>
            <c:strRef>
              <c:f>'2. Trade in Goods'!$A$22</c:f>
              <c:strCache>
                <c:ptCount val="1"/>
                <c:pt idx="0">
                  <c:v>Products of agriculture, forestry &amp; fishing</c:v>
                </c:pt>
              </c:strCache>
            </c:strRef>
          </c:tx>
          <c:spPr>
            <a:solidFill>
              <a:schemeClr val="tx1"/>
            </a:solidFill>
            <a:ln w="12700">
              <a:solidFill>
                <a:schemeClr val="tx1">
                  <a:lumMod val="85000"/>
                  <a:lumOff val="15000"/>
                </a:schemeClr>
              </a:solidFill>
            </a:ln>
            <a:effectLst/>
          </c:spPr>
          <c:invertIfNegative val="0"/>
          <c:dLbls>
            <c:delete val="1"/>
          </c:dLbls>
          <c:cat>
            <c:strRef>
              <c:f>'2. Trade in Goods'!$B$10:$C$10</c:f>
              <c:strCache>
                <c:ptCount val="2"/>
                <c:pt idx="0">
                  <c:v>EU</c:v>
                </c:pt>
                <c:pt idx="1">
                  <c:v>non-EU</c:v>
                </c:pt>
              </c:strCache>
            </c:strRef>
          </c:cat>
          <c:val>
            <c:numRef>
              <c:f>'2. Trade in Goods'!$B$22:$C$22</c:f>
              <c:numCache>
                <c:formatCode>_-[$£-809]* #,##0.0_-;\-[$£-809]* #,##0.0_-;_-[$£-809]* "-"??_-;_-@_-</c:formatCode>
                <c:ptCount val="2"/>
                <c:pt idx="0">
                  <c:v>2.1240000000000001</c:v>
                </c:pt>
                <c:pt idx="1">
                  <c:v>0.84799999999999998</c:v>
                </c:pt>
              </c:numCache>
            </c:numRef>
          </c:val>
          <c:extLst>
            <c:ext xmlns:c16="http://schemas.microsoft.com/office/drawing/2014/chart" uri="{C3380CC4-5D6E-409C-BE32-E72D297353CC}">
              <c16:uniqueId val="{0000000F-8FF6-467F-9FDC-623F964F396D}"/>
            </c:ext>
          </c:extLst>
        </c:ser>
        <c:ser>
          <c:idx val="12"/>
          <c:order val="12"/>
          <c:tx>
            <c:strRef>
              <c:f>'2. Trade in Goods'!$A$23</c:f>
              <c:strCache>
                <c:ptCount val="1"/>
                <c:pt idx="0">
                  <c:v>Mining &amp; quarrying (Inc. crude oil &amp; gas)</c:v>
                </c:pt>
              </c:strCache>
            </c:strRef>
          </c:tx>
          <c:spPr>
            <a:solidFill>
              <a:schemeClr val="tx1">
                <a:lumMod val="65000"/>
                <a:lumOff val="35000"/>
              </a:schemeClr>
            </a:solidFill>
            <a:ln w="12700">
              <a:solidFill>
                <a:schemeClr val="tx1">
                  <a:lumMod val="85000"/>
                  <a:lumOff val="1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Goods'!$B$10:$C$10</c:f>
              <c:strCache>
                <c:ptCount val="2"/>
                <c:pt idx="0">
                  <c:v>EU</c:v>
                </c:pt>
                <c:pt idx="1">
                  <c:v>non-EU</c:v>
                </c:pt>
              </c:strCache>
            </c:strRef>
          </c:cat>
          <c:val>
            <c:numRef>
              <c:f>'2. Trade in Goods'!$B$23:$C$23</c:f>
              <c:numCache>
                <c:formatCode>_-[$£-809]* #,##0.0_-;\-[$£-809]* #,##0.0_-;_-[$£-809]* "-"??_-;_-@_-</c:formatCode>
                <c:ptCount val="2"/>
                <c:pt idx="0">
                  <c:v>15.9</c:v>
                </c:pt>
                <c:pt idx="1">
                  <c:v>7.5650000000000004</c:v>
                </c:pt>
              </c:numCache>
            </c:numRef>
          </c:val>
          <c:extLst>
            <c:ext xmlns:c16="http://schemas.microsoft.com/office/drawing/2014/chart" uri="{C3380CC4-5D6E-409C-BE32-E72D297353CC}">
              <c16:uniqueId val="{00000010-8FF6-467F-9FDC-623F964F396D}"/>
            </c:ext>
          </c:extLst>
        </c:ser>
        <c:ser>
          <c:idx val="13"/>
          <c:order val="13"/>
          <c:tx>
            <c:strRef>
              <c:f>'2. Trade in Goods'!$A$24</c:f>
              <c:strCache>
                <c:ptCount val="1"/>
                <c:pt idx="0">
                  <c:v>Electricity, gas, steam &amp; air conditioning</c:v>
                </c:pt>
              </c:strCache>
            </c:strRef>
          </c:tx>
          <c:spPr>
            <a:solidFill>
              <a:schemeClr val="accent2">
                <a:lumMod val="80000"/>
                <a:lumOff val="20000"/>
              </a:schemeClr>
            </a:solidFill>
            <a:ln>
              <a:noFill/>
            </a:ln>
            <a:effectLst/>
          </c:spPr>
          <c:invertIfNegative val="0"/>
          <c:dLbls>
            <c:delete val="1"/>
          </c:dLbls>
          <c:cat>
            <c:strRef>
              <c:f>'2. Trade in Goods'!$B$10:$C$10</c:f>
              <c:strCache>
                <c:ptCount val="2"/>
                <c:pt idx="0">
                  <c:v>EU</c:v>
                </c:pt>
                <c:pt idx="1">
                  <c:v>non-EU</c:v>
                </c:pt>
              </c:strCache>
            </c:strRef>
          </c:cat>
          <c:val>
            <c:numRef>
              <c:f>'2. Trade in Goods'!$B$24:$C$24</c:f>
              <c:numCache>
                <c:formatCode>_-[$£-809]* #,##0.0_-;\-[$£-809]* #,##0.0_-;_-[$£-809]* "-"??_-;_-@_-</c:formatCode>
                <c:ptCount val="2"/>
                <c:pt idx="0">
                  <c:v>0.13</c:v>
                </c:pt>
                <c:pt idx="1">
                  <c:v>0</c:v>
                </c:pt>
              </c:numCache>
            </c:numRef>
          </c:val>
          <c:extLst>
            <c:ext xmlns:c16="http://schemas.microsoft.com/office/drawing/2014/chart" uri="{C3380CC4-5D6E-409C-BE32-E72D297353CC}">
              <c16:uniqueId val="{00000011-8FF6-467F-9FDC-623F964F396D}"/>
            </c:ext>
          </c:extLst>
        </c:ser>
        <c:ser>
          <c:idx val="14"/>
          <c:order val="14"/>
          <c:tx>
            <c:strRef>
              <c:f>'2. Trade in Goods'!$A$25</c:f>
              <c:strCache>
                <c:ptCount val="1"/>
                <c:pt idx="0">
                  <c:v>Water supply, sewerage &amp; waste management</c:v>
                </c:pt>
              </c:strCache>
            </c:strRef>
          </c:tx>
          <c:spPr>
            <a:solidFill>
              <a:schemeClr val="bg1">
                <a:lumMod val="75000"/>
              </a:schemeClr>
            </a:solidFill>
            <a:ln w="12700">
              <a:solidFill>
                <a:schemeClr val="tx1">
                  <a:lumMod val="65000"/>
                  <a:lumOff val="35000"/>
                </a:schemeClr>
              </a:solidFill>
            </a:ln>
            <a:effectLst/>
          </c:spPr>
          <c:invertIfNegative val="0"/>
          <c:dLbls>
            <c:delete val="1"/>
          </c:dLbls>
          <c:cat>
            <c:strRef>
              <c:f>'2. Trade in Goods'!$B$10:$C$10</c:f>
              <c:strCache>
                <c:ptCount val="2"/>
                <c:pt idx="0">
                  <c:v>EU</c:v>
                </c:pt>
                <c:pt idx="1">
                  <c:v>non-EU</c:v>
                </c:pt>
              </c:strCache>
            </c:strRef>
          </c:cat>
          <c:val>
            <c:numRef>
              <c:f>'2. Trade in Goods'!$B$25:$C$25</c:f>
              <c:numCache>
                <c:formatCode>_-[$£-809]* #,##0.0_-;\-[$£-809]* #,##0.0_-;_-[$£-809]* "-"??_-;_-@_-</c:formatCode>
                <c:ptCount val="2"/>
                <c:pt idx="0">
                  <c:v>1.41</c:v>
                </c:pt>
                <c:pt idx="1">
                  <c:v>4.1820000000000004</c:v>
                </c:pt>
              </c:numCache>
            </c:numRef>
          </c:val>
          <c:extLst>
            <c:ext xmlns:c16="http://schemas.microsoft.com/office/drawing/2014/chart" uri="{C3380CC4-5D6E-409C-BE32-E72D297353CC}">
              <c16:uniqueId val="{00000012-8FF6-467F-9FDC-623F964F396D}"/>
            </c:ext>
          </c:extLst>
        </c:ser>
        <c:ser>
          <c:idx val="15"/>
          <c:order val="15"/>
          <c:tx>
            <c:strRef>
              <c:f>'2. Trade in Goods'!$A$26</c:f>
              <c:strCache>
                <c:ptCount val="1"/>
                <c:pt idx="0">
                  <c:v>Information &amp; communication services</c:v>
                </c:pt>
              </c:strCache>
            </c:strRef>
          </c:tx>
          <c:spPr>
            <a:solidFill>
              <a:schemeClr val="accent4">
                <a:lumMod val="80000"/>
                <a:lumOff val="20000"/>
              </a:schemeClr>
            </a:solidFill>
            <a:ln w="12700">
              <a:solidFill>
                <a:srgbClr val="F1581B"/>
              </a:solidFill>
            </a:ln>
            <a:effectLst/>
          </c:spPr>
          <c:invertIfNegative val="0"/>
          <c:dLbls>
            <c:delete val="1"/>
          </c:dLbls>
          <c:cat>
            <c:strRef>
              <c:f>'2. Trade in Goods'!$B$10:$C$10</c:f>
              <c:strCache>
                <c:ptCount val="2"/>
                <c:pt idx="0">
                  <c:v>EU</c:v>
                </c:pt>
                <c:pt idx="1">
                  <c:v>non-EU</c:v>
                </c:pt>
              </c:strCache>
            </c:strRef>
          </c:cat>
          <c:val>
            <c:numRef>
              <c:f>'2. Trade in Goods'!$B$26:$C$26</c:f>
              <c:numCache>
                <c:formatCode>_-[$£-809]* #,##0.0_-;\-[$£-809]* #,##0.0_-;_-[$£-809]* "-"??_-;_-@_-</c:formatCode>
                <c:ptCount val="2"/>
                <c:pt idx="0">
                  <c:v>1.786</c:v>
                </c:pt>
                <c:pt idx="1">
                  <c:v>1.9039999999999999</c:v>
                </c:pt>
              </c:numCache>
            </c:numRef>
          </c:val>
          <c:extLst>
            <c:ext xmlns:c16="http://schemas.microsoft.com/office/drawing/2014/chart" uri="{C3380CC4-5D6E-409C-BE32-E72D297353CC}">
              <c16:uniqueId val="{00000013-8FF6-467F-9FDC-623F964F396D}"/>
            </c:ext>
          </c:extLst>
        </c:ser>
        <c:ser>
          <c:idx val="16"/>
          <c:order val="16"/>
          <c:tx>
            <c:strRef>
              <c:f>'2. Trade in Goods'!$A$27</c:f>
              <c:strCache>
                <c:ptCount val="1"/>
                <c:pt idx="0">
                  <c:v>Arts, entertainment &amp; recreation</c:v>
                </c:pt>
              </c:strCache>
            </c:strRef>
          </c:tx>
          <c:spPr>
            <a:solidFill>
              <a:srgbClr val="663300"/>
            </a:solidFill>
            <a:ln w="12700">
              <a:solidFill>
                <a:srgbClr val="450701"/>
              </a:solidFill>
            </a:ln>
            <a:effectLst/>
          </c:spPr>
          <c:invertIfNegative val="0"/>
          <c:dLbls>
            <c:delete val="1"/>
          </c:dLbls>
          <c:cat>
            <c:strRef>
              <c:f>'2. Trade in Goods'!$B$10:$C$10</c:f>
              <c:strCache>
                <c:ptCount val="2"/>
                <c:pt idx="0">
                  <c:v>EU</c:v>
                </c:pt>
                <c:pt idx="1">
                  <c:v>non-EU</c:v>
                </c:pt>
              </c:strCache>
            </c:strRef>
          </c:cat>
          <c:val>
            <c:numRef>
              <c:f>'2. Trade in Goods'!$B$27:$C$27</c:f>
              <c:numCache>
                <c:formatCode>_-[$£-809]* #,##0.0_-;\-[$£-809]* #,##0.0_-;_-[$£-809]* "-"??_-;_-@_-</c:formatCode>
                <c:ptCount val="2"/>
                <c:pt idx="0">
                  <c:v>0.24299999999999999</c:v>
                </c:pt>
                <c:pt idx="1">
                  <c:v>5.5640000000000001</c:v>
                </c:pt>
              </c:numCache>
            </c:numRef>
          </c:val>
          <c:extLst>
            <c:ext xmlns:c16="http://schemas.microsoft.com/office/drawing/2014/chart" uri="{C3380CC4-5D6E-409C-BE32-E72D297353CC}">
              <c16:uniqueId val="{00000014-8FF6-467F-9FDC-623F964F396D}"/>
            </c:ext>
          </c:extLst>
        </c:ser>
        <c:dLbls>
          <c:dLblPos val="ctr"/>
          <c:showLegendKey val="0"/>
          <c:showVal val="1"/>
          <c:showCatName val="0"/>
          <c:showSerName val="0"/>
          <c:showPercent val="0"/>
          <c:showBubbleSize val="0"/>
        </c:dLbls>
        <c:gapWidth val="85"/>
        <c:overlap val="100"/>
        <c:axId val="592131296"/>
        <c:axId val="592132608"/>
      </c:barChart>
      <c:catAx>
        <c:axId val="592131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592132608"/>
        <c:crosses val="autoZero"/>
        <c:auto val="1"/>
        <c:lblAlgn val="ctr"/>
        <c:lblOffset val="100"/>
        <c:noMultiLvlLbl val="0"/>
      </c:catAx>
      <c:valAx>
        <c:axId val="592132608"/>
        <c:scaling>
          <c:orientation val="minMax"/>
          <c:max val="160"/>
        </c:scaling>
        <c:delete val="0"/>
        <c:axPos val="t"/>
        <c:majorGridlines>
          <c:spPr>
            <a:ln w="9525" cap="flat" cmpd="sng" algn="ctr">
              <a:solidFill>
                <a:schemeClr val="tx1">
                  <a:lumMod val="15000"/>
                  <a:lumOff val="85000"/>
                </a:schemeClr>
              </a:solidFill>
              <a:round/>
            </a:ln>
            <a:effectLst/>
          </c:spPr>
        </c:majorGridlines>
        <c:numFmt formatCode="_-[$£-809]* #,##0_-;\-[$£-809]* #,##0_-;_-[$£-809]* &quot;-&quot;_-;_-@_-"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92131296"/>
        <c:crosses val="autoZero"/>
        <c:crossBetween val="between"/>
      </c:valAx>
      <c:spPr>
        <a:noFill/>
        <a:ln>
          <a:noFill/>
        </a:ln>
        <a:effectLst/>
      </c:spPr>
    </c:plotArea>
    <c:legend>
      <c:legendPos val="b"/>
      <c:layout>
        <c:manualLayout>
          <c:xMode val="edge"/>
          <c:yMode val="edge"/>
          <c:x val="1.3799404770231999E-3"/>
          <c:y val="0.64477699771455155"/>
          <c:w val="0.98970605830621383"/>
          <c:h val="0.3552230022854484"/>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tx1">
                    <a:lumMod val="75000"/>
                    <a:lumOff val="25000"/>
                  </a:schemeClr>
                </a:solidFill>
                <a:latin typeface="+mn-lt"/>
                <a:ea typeface="+mn-ea"/>
                <a:cs typeface="+mn-cs"/>
              </a:defRPr>
            </a:pPr>
            <a:r>
              <a:rPr lang="en-US" sz="1400" b="1" i="0" u="none" strike="noStrike" kern="1200" spc="0" baseline="0">
                <a:solidFill>
                  <a:schemeClr val="tx1">
                    <a:lumMod val="75000"/>
                    <a:lumOff val="25000"/>
                  </a:schemeClr>
                </a:solidFill>
                <a:latin typeface="+mn-lt"/>
                <a:ea typeface="+mn-ea"/>
                <a:cs typeface="+mn-cs"/>
              </a:rPr>
              <a:t>UK-EU and US-China 2018 </a:t>
            </a:r>
            <a:br>
              <a:rPr lang="en-US" sz="1400" b="1" i="0" u="none" strike="noStrike" kern="1200" spc="0" baseline="0">
                <a:solidFill>
                  <a:schemeClr val="tx1">
                    <a:lumMod val="75000"/>
                    <a:lumOff val="25000"/>
                  </a:schemeClr>
                </a:solidFill>
                <a:latin typeface="+mn-lt"/>
                <a:ea typeface="+mn-ea"/>
                <a:cs typeface="+mn-cs"/>
              </a:rPr>
            </a:br>
            <a:r>
              <a:rPr lang="en-US" sz="1400" b="1" i="0" u="none" strike="noStrike" kern="1200" spc="0" baseline="0">
                <a:solidFill>
                  <a:schemeClr val="tx1">
                    <a:lumMod val="75000"/>
                    <a:lumOff val="25000"/>
                  </a:schemeClr>
                </a:solidFill>
                <a:latin typeface="+mn-lt"/>
                <a:ea typeface="+mn-ea"/>
                <a:cs typeface="+mn-cs"/>
              </a:rPr>
              <a:t>Deficits compared: US$ bn</a:t>
            </a:r>
          </a:p>
        </c:rich>
      </c:tx>
      <c:layout>
        <c:manualLayout>
          <c:xMode val="edge"/>
          <c:yMode val="edge"/>
          <c:x val="0.29475737590122114"/>
          <c:y val="4.5553137555615561E-2"/>
        </c:manualLayout>
      </c:layout>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'2. Trade in Goods'!$B$237</c:f>
              <c:strCache>
                <c:ptCount val="1"/>
                <c:pt idx="0">
                  <c:v>US$ bn</c:v>
                </c:pt>
              </c:strCache>
            </c:strRef>
          </c:tx>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4483-484C-B955-6C79F9AF9235}"/>
              </c:ext>
            </c:extLst>
          </c:dPt>
          <c:dPt>
            <c:idx val="1"/>
            <c:invertIfNegative val="0"/>
            <c:bubble3D val="0"/>
            <c:spPr>
              <a:solidFill>
                <a:srgbClr val="C00000"/>
              </a:solidFill>
              <a:ln>
                <a:noFill/>
              </a:ln>
              <a:effectLst/>
            </c:spPr>
            <c:extLst>
              <c:ext xmlns:c16="http://schemas.microsoft.com/office/drawing/2014/chart" uri="{C3380CC4-5D6E-409C-BE32-E72D297353CC}">
                <c16:uniqueId val="{00000003-4483-484C-B955-6C79F9AF9235}"/>
              </c:ext>
            </c:extLst>
          </c:dPt>
          <c:cat>
            <c:strRef>
              <c:f>'2. Trade in Goods'!$A$238:$A$239</c:f>
              <c:strCache>
                <c:ptCount val="2"/>
                <c:pt idx="0">
                  <c:v>US‒China </c:v>
                </c:pt>
                <c:pt idx="1">
                  <c:v>UK‒EU</c:v>
                </c:pt>
              </c:strCache>
            </c:strRef>
          </c:cat>
          <c:val>
            <c:numRef>
              <c:f>'2. Trade in Goods'!$B$238:$B$239</c:f>
              <c:numCache>
                <c:formatCode>_-"$"* #,##0.0_-;\-"$"* #,##0.0_-;_-"$"* "-"??_-;_-@_-</c:formatCode>
                <c:ptCount val="2"/>
                <c:pt idx="0">
                  <c:v>378.66200000000003</c:v>
                </c:pt>
                <c:pt idx="1">
                  <c:v>85.183840000000004</c:v>
                </c:pt>
              </c:numCache>
            </c:numRef>
          </c:val>
          <c:extLst>
            <c:ext xmlns:c16="http://schemas.microsoft.com/office/drawing/2014/chart" uri="{C3380CC4-5D6E-409C-BE32-E72D297353CC}">
              <c16:uniqueId val="{00000004-4483-484C-B955-6C79F9AF9235}"/>
            </c:ext>
          </c:extLst>
        </c:ser>
        <c:dLbls>
          <c:showLegendKey val="0"/>
          <c:showVal val="0"/>
          <c:showCatName val="0"/>
          <c:showSerName val="0"/>
          <c:showPercent val="0"/>
          <c:showBubbleSize val="0"/>
        </c:dLbls>
        <c:gapWidth val="87"/>
        <c:axId val="625382200"/>
        <c:axId val="625377280"/>
      </c:barChart>
      <c:catAx>
        <c:axId val="625382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crossAx val="625377280"/>
        <c:crosses val="autoZero"/>
        <c:auto val="1"/>
        <c:lblAlgn val="ctr"/>
        <c:lblOffset val="100"/>
        <c:noMultiLvlLbl val="0"/>
      </c:catAx>
      <c:valAx>
        <c:axId val="625377280"/>
        <c:scaling>
          <c:orientation val="minMax"/>
          <c:max val="350"/>
          <c:min val="0"/>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625382200"/>
        <c:crosses val="autoZero"/>
        <c:crossBetween val="between"/>
        <c:majorUnit val="50"/>
        <c:minorUnit val="1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US" b="1"/>
              <a:t>Deficit in goods and services per person: 2018</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barChart>
        <c:barDir val="col"/>
        <c:grouping val="clustered"/>
        <c:varyColors val="0"/>
        <c:ser>
          <c:idx val="0"/>
          <c:order val="0"/>
          <c:tx>
            <c:strRef>
              <c:f>'2. Trade in Goods'!$B$245</c:f>
              <c:strCache>
                <c:ptCount val="1"/>
                <c:pt idx="0">
                  <c:v>US$ </c:v>
                </c:pt>
              </c:strCache>
            </c:strRef>
          </c:tx>
          <c:spPr>
            <a:solidFill>
              <a:schemeClr val="accent1"/>
            </a:solidFill>
            <a:ln>
              <a:noFill/>
            </a:ln>
            <a:effectLst/>
          </c:spPr>
          <c:invertIfNegative val="0"/>
          <c:dPt>
            <c:idx val="0"/>
            <c:invertIfNegative val="0"/>
            <c:bubble3D val="0"/>
            <c:spPr>
              <a:solidFill>
                <a:srgbClr val="C00000"/>
              </a:solidFill>
              <a:ln>
                <a:solidFill>
                  <a:srgbClr val="990000"/>
                </a:solidFill>
              </a:ln>
              <a:effectLst/>
            </c:spPr>
            <c:extLst>
              <c:ext xmlns:c16="http://schemas.microsoft.com/office/drawing/2014/chart" uri="{C3380CC4-5D6E-409C-BE32-E72D297353CC}">
                <c16:uniqueId val="{00000001-EF29-4919-87A6-052E038D391F}"/>
              </c:ext>
            </c:extLst>
          </c:dPt>
          <c:dPt>
            <c:idx val="1"/>
            <c:invertIfNegative val="0"/>
            <c:bubble3D val="0"/>
            <c:spPr>
              <a:solidFill>
                <a:srgbClr val="002060"/>
              </a:solidFill>
              <a:ln>
                <a:noFill/>
              </a:ln>
              <a:effectLst/>
            </c:spPr>
            <c:extLst>
              <c:ext xmlns:c16="http://schemas.microsoft.com/office/drawing/2014/chart" uri="{C3380CC4-5D6E-409C-BE32-E72D297353CC}">
                <c16:uniqueId val="{00000003-EF29-4919-87A6-052E038D391F}"/>
              </c:ext>
            </c:extLst>
          </c:dPt>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Goods'!$A$246:$A$247</c:f>
              <c:strCache>
                <c:ptCount val="2"/>
                <c:pt idx="0">
                  <c:v>US deficit with China </c:v>
                </c:pt>
                <c:pt idx="1">
                  <c:v>UK deficit with EU</c:v>
                </c:pt>
              </c:strCache>
            </c:strRef>
          </c:cat>
          <c:val>
            <c:numRef>
              <c:f>'2. Trade in Goods'!$B$246:$B$247</c:f>
              <c:numCache>
                <c:formatCode>_-[$$-409]* #,##0_ ;_-[$$-409]* \-#,##0\ ;_-[$$-409]* "-"??_ ;_-@_ </c:formatCode>
                <c:ptCount val="2"/>
                <c:pt idx="0">
                  <c:v>1176.6998135487881</c:v>
                </c:pt>
                <c:pt idx="1">
                  <c:v>1316.5972179289026</c:v>
                </c:pt>
              </c:numCache>
            </c:numRef>
          </c:val>
          <c:extLst>
            <c:ext xmlns:c16="http://schemas.microsoft.com/office/drawing/2014/chart" uri="{C3380CC4-5D6E-409C-BE32-E72D297353CC}">
              <c16:uniqueId val="{00000004-EF29-4919-87A6-052E038D391F}"/>
            </c:ext>
          </c:extLst>
        </c:ser>
        <c:dLbls>
          <c:showLegendKey val="0"/>
          <c:showVal val="0"/>
          <c:showCatName val="0"/>
          <c:showSerName val="0"/>
          <c:showPercent val="0"/>
          <c:showBubbleSize val="0"/>
        </c:dLbls>
        <c:gapWidth val="219"/>
        <c:overlap val="-27"/>
        <c:axId val="429755488"/>
        <c:axId val="429755816"/>
      </c:barChart>
      <c:catAx>
        <c:axId val="42975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crossAx val="429755816"/>
        <c:crosses val="autoZero"/>
        <c:auto val="1"/>
        <c:lblAlgn val="ctr"/>
        <c:lblOffset val="100"/>
        <c:noMultiLvlLbl val="0"/>
      </c:catAx>
      <c:valAx>
        <c:axId val="429755816"/>
        <c:scaling>
          <c:orientation val="minMax"/>
          <c:max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r>
                  <a:rPr lang="en-US" sz="1100" b="1"/>
                  <a:t>Deficit per peron</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429755488"/>
        <c:crosses val="autoZero"/>
        <c:crossBetween val="between"/>
        <c:majorUnit val="50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solidFill>
                  <a:schemeClr val="tx1">
                    <a:lumMod val="75000"/>
                    <a:lumOff val="25000"/>
                  </a:schemeClr>
                </a:solidFill>
              </a:rPr>
              <a:t>Annual Growth Rates</a:t>
            </a:r>
            <a:r>
              <a:rPr lang="en-AU" b="1" baseline="0">
                <a:solidFill>
                  <a:schemeClr val="tx1">
                    <a:lumMod val="75000"/>
                    <a:lumOff val="25000"/>
                  </a:schemeClr>
                </a:solidFill>
              </a:rPr>
              <a:t>, 1999 </a:t>
            </a:r>
            <a:r>
              <a:rPr lang="en-AU" b="1" baseline="0">
                <a:solidFill>
                  <a:schemeClr val="tx1">
                    <a:lumMod val="75000"/>
                    <a:lumOff val="25000"/>
                  </a:schemeClr>
                </a:solidFill>
                <a:latin typeface="Calibri" panose="020F0502020204030204" pitchFamily="34" charset="0"/>
                <a:cs typeface="Calibri" panose="020F0502020204030204" pitchFamily="34" charset="0"/>
              </a:rPr>
              <a:t>‒ 2018</a:t>
            </a:r>
            <a:endParaRPr lang="en-AU" b="1">
              <a:solidFill>
                <a:schemeClr val="tx1">
                  <a:lumMod val="75000"/>
                  <a:lumOff val="25000"/>
                </a:schemeClr>
              </a:solidFill>
            </a:endParaRPr>
          </a:p>
        </c:rich>
      </c:tx>
      <c:layout>
        <c:manualLayout>
          <c:xMode val="edge"/>
          <c:yMode val="edge"/>
          <c:x val="0.21011789151356078"/>
          <c:y val="5.504587155963303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002060"/>
            </a:solidFill>
            <a:ln>
              <a:noFill/>
            </a:ln>
            <a:effectLst/>
          </c:spPr>
          <c:invertIfNegative val="0"/>
          <c:dPt>
            <c:idx val="1"/>
            <c:invertIfNegative val="0"/>
            <c:bubble3D val="0"/>
            <c:spPr>
              <a:solidFill>
                <a:srgbClr val="800000"/>
              </a:solidFill>
              <a:ln>
                <a:noFill/>
              </a:ln>
              <a:effectLst/>
            </c:spPr>
            <c:extLst>
              <c:ext xmlns:c16="http://schemas.microsoft.com/office/drawing/2014/chart" uri="{C3380CC4-5D6E-409C-BE32-E72D297353CC}">
                <c16:uniqueId val="{00000001-693C-46C7-85A1-996676F94CDA}"/>
              </c:ext>
            </c:extLst>
          </c:dPt>
          <c:dPt>
            <c:idx val="2"/>
            <c:invertIfNegative val="0"/>
            <c:bubble3D val="0"/>
            <c:spPr>
              <a:solidFill>
                <a:srgbClr val="062B03"/>
              </a:solidFill>
              <a:ln>
                <a:noFill/>
              </a:ln>
              <a:effectLst/>
            </c:spPr>
            <c:extLst>
              <c:ext xmlns:c16="http://schemas.microsoft.com/office/drawing/2014/chart" uri="{C3380CC4-5D6E-409C-BE32-E72D297353CC}">
                <c16:uniqueId val="{00000003-693C-46C7-85A1-996676F94CDA}"/>
              </c:ext>
            </c:extLst>
          </c:dPt>
          <c:dPt>
            <c:idx val="3"/>
            <c:invertIfNegative val="0"/>
            <c:bubble3D val="0"/>
            <c:spPr>
              <a:solidFill>
                <a:schemeClr val="accent2">
                  <a:lumMod val="50000"/>
                </a:schemeClr>
              </a:solidFill>
              <a:ln>
                <a:noFill/>
              </a:ln>
              <a:effectLst/>
            </c:spPr>
            <c:extLst>
              <c:ext xmlns:c16="http://schemas.microsoft.com/office/drawing/2014/chart" uri="{C3380CC4-5D6E-409C-BE32-E72D297353CC}">
                <c16:uniqueId val="{00000005-693C-46C7-85A1-996676F94CD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Goods'!$A$258:$A$261</c:f>
              <c:strCache>
                <c:ptCount val="4"/>
                <c:pt idx="0">
                  <c:v>UK Goods Exports to EU</c:v>
                </c:pt>
                <c:pt idx="1">
                  <c:v>UK Productivity </c:v>
                </c:pt>
                <c:pt idx="2">
                  <c:v>Eurozone GDP*</c:v>
                </c:pt>
                <c:pt idx="3">
                  <c:v>US Goods Exports to EU </c:v>
                </c:pt>
              </c:strCache>
            </c:strRef>
          </c:cat>
          <c:val>
            <c:numRef>
              <c:f>'2. Trade in Goods'!$B$258:$B$261</c:f>
              <c:numCache>
                <c:formatCode>0.00%</c:formatCode>
                <c:ptCount val="4"/>
                <c:pt idx="0">
                  <c:v>3.1002118786171984E-3</c:v>
                </c:pt>
                <c:pt idx="1">
                  <c:v>1.0400000000000003E-2</c:v>
                </c:pt>
                <c:pt idx="2">
                  <c:v>1.5599999999999999E-2</c:v>
                </c:pt>
                <c:pt idx="3">
                  <c:v>2.2429599800198652E-2</c:v>
                </c:pt>
              </c:numCache>
            </c:numRef>
          </c:val>
          <c:extLst>
            <c:ext xmlns:c16="http://schemas.microsoft.com/office/drawing/2014/chart" uri="{C3380CC4-5D6E-409C-BE32-E72D297353CC}">
              <c16:uniqueId val="{00000006-693C-46C7-85A1-996676F94CDA}"/>
            </c:ext>
          </c:extLst>
        </c:ser>
        <c:dLbls>
          <c:showLegendKey val="0"/>
          <c:showVal val="0"/>
          <c:showCatName val="0"/>
          <c:showSerName val="0"/>
          <c:showPercent val="0"/>
          <c:showBubbleSize val="0"/>
        </c:dLbls>
        <c:gapWidth val="117"/>
        <c:overlap val="-27"/>
        <c:axId val="575806384"/>
        <c:axId val="575803432"/>
      </c:barChart>
      <c:catAx>
        <c:axId val="57580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crossAx val="575803432"/>
        <c:crosses val="autoZero"/>
        <c:auto val="1"/>
        <c:lblAlgn val="ctr"/>
        <c:lblOffset val="100"/>
        <c:noMultiLvlLbl val="0"/>
      </c:catAx>
      <c:valAx>
        <c:axId val="575803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crossAx val="5758063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75000"/>
                    <a:lumOff val="25000"/>
                  </a:schemeClr>
                </a:solidFill>
                <a:latin typeface="+mn-lt"/>
                <a:ea typeface="+mn-ea"/>
                <a:cs typeface="+mn-cs"/>
              </a:defRPr>
            </a:pPr>
            <a:r>
              <a:rPr lang="en-US">
                <a:solidFill>
                  <a:schemeClr val="tx1">
                    <a:lumMod val="75000"/>
                    <a:lumOff val="25000"/>
                  </a:schemeClr>
                </a:solidFill>
              </a:rPr>
              <a:t>UK</a:t>
            </a:r>
            <a:r>
              <a:rPr lang="en-US" baseline="0">
                <a:solidFill>
                  <a:schemeClr val="tx1">
                    <a:lumMod val="75000"/>
                    <a:lumOff val="25000"/>
                  </a:schemeClr>
                </a:solidFill>
              </a:rPr>
              <a:t> </a:t>
            </a:r>
            <a:r>
              <a:rPr lang="en-US" cap="none" baseline="0">
                <a:solidFill>
                  <a:schemeClr val="tx1">
                    <a:lumMod val="75000"/>
                    <a:lumOff val="25000"/>
                  </a:schemeClr>
                </a:solidFill>
              </a:rPr>
              <a:t>export of goods &amp; services: 2018</a:t>
            </a:r>
          </a:p>
          <a:p>
            <a:pPr>
              <a:defRPr>
                <a:solidFill>
                  <a:schemeClr val="tx1">
                    <a:lumMod val="75000"/>
                    <a:lumOff val="25000"/>
                  </a:schemeClr>
                </a:solidFill>
              </a:defRPr>
            </a:pPr>
            <a:r>
              <a:rPr lang="en-US" cap="none" baseline="0">
                <a:solidFill>
                  <a:schemeClr val="tx1">
                    <a:lumMod val="75000"/>
                    <a:lumOff val="25000"/>
                  </a:schemeClr>
                </a:solidFill>
              </a:rPr>
              <a:t>Total </a:t>
            </a:r>
            <a:r>
              <a:rPr lang="en-US" cap="none" baseline="0">
                <a:solidFill>
                  <a:schemeClr val="tx1">
                    <a:lumMod val="75000"/>
                    <a:lumOff val="25000"/>
                  </a:schemeClr>
                </a:solidFill>
                <a:latin typeface="Calibri" panose="020F0502020204030204" pitchFamily="34" charset="0"/>
                <a:cs typeface="Calibri" panose="020F0502020204030204" pitchFamily="34" charset="0"/>
              </a:rPr>
              <a:t>£617.5 bn</a:t>
            </a:r>
            <a:r>
              <a:rPr lang="en-US" cap="none" baseline="0">
                <a:solidFill>
                  <a:schemeClr val="tx1">
                    <a:lumMod val="75000"/>
                    <a:lumOff val="25000"/>
                  </a:schemeClr>
                </a:solidFill>
              </a:rPr>
              <a:t> </a:t>
            </a:r>
            <a:endParaRPr lang="en-US">
              <a:solidFill>
                <a:schemeClr val="tx1">
                  <a:lumMod val="75000"/>
                  <a:lumOff val="25000"/>
                </a:schemeClr>
              </a:solidFill>
            </a:endParaRPr>
          </a:p>
        </c:rich>
      </c:tx>
      <c:layout>
        <c:manualLayout>
          <c:xMode val="edge"/>
          <c:yMode val="edge"/>
          <c:x val="0.33250354640040092"/>
          <c:y val="4.4388167695254312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2.5505280717673245E-2"/>
          <c:y val="5.73382634603107E-2"/>
          <c:w val="0.35830730292862595"/>
          <c:h val="0.89350872526069391"/>
        </c:manualLayout>
      </c:layout>
      <c:doughnutChart>
        <c:varyColors val="1"/>
        <c:ser>
          <c:idx val="0"/>
          <c:order val="0"/>
          <c:tx>
            <c:strRef>
              <c:f>'1. All Trade'!$B$64</c:f>
              <c:strCache>
                <c:ptCount val="1"/>
                <c:pt idx="0">
                  <c:v> 1999 £ billion </c:v>
                </c:pt>
              </c:strCache>
            </c:strRef>
          </c:tx>
          <c:dPt>
            <c:idx val="0"/>
            <c:bubble3D val="0"/>
            <c:spPr>
              <a:solidFill>
                <a:srgbClr val="00206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B620-4EB5-9254-428D4DC42B16}"/>
              </c:ext>
            </c:extLst>
          </c:dPt>
          <c:dPt>
            <c:idx val="1"/>
            <c:bubble3D val="0"/>
            <c:spPr>
              <a:solidFill>
                <a:srgbClr val="C00000"/>
              </a:solidFill>
              <a:ln>
                <a:solidFill>
                  <a:sysClr val="windowText" lastClr="000000"/>
                </a:solid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B620-4EB5-9254-428D4DC42B16}"/>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All Trade'!$A$65:$A$66</c:f>
              <c:strCache>
                <c:ptCount val="2"/>
                <c:pt idx="0">
                  <c:v>Export of Goods</c:v>
                </c:pt>
                <c:pt idx="1">
                  <c:v>Export of Services</c:v>
                </c:pt>
              </c:strCache>
            </c:strRef>
          </c:cat>
          <c:val>
            <c:numRef>
              <c:f>'1. All Trade'!$B$65:$B$66</c:f>
              <c:numCache>
                <c:formatCode>0.0</c:formatCode>
                <c:ptCount val="2"/>
                <c:pt idx="0">
                  <c:v>167.78399999999999</c:v>
                </c:pt>
                <c:pt idx="1">
                  <c:v>76.484999999999999</c:v>
                </c:pt>
              </c:numCache>
            </c:numRef>
          </c:val>
          <c:extLst>
            <c:ext xmlns:c16="http://schemas.microsoft.com/office/drawing/2014/chart" uri="{C3380CC4-5D6E-409C-BE32-E72D297353CC}">
              <c16:uniqueId val="{00000004-B620-4EB5-9254-428D4DC42B16}"/>
            </c:ext>
          </c:extLst>
        </c:ser>
        <c:ser>
          <c:idx val="1"/>
          <c:order val="1"/>
          <c:tx>
            <c:strRef>
              <c:f>'1. All Trade'!$C$64</c:f>
              <c:strCache>
                <c:ptCount val="1"/>
                <c:pt idx="0">
                  <c:v> 2018 £ billion </c:v>
                </c:pt>
              </c:strCache>
            </c:strRef>
          </c:tx>
          <c:dPt>
            <c:idx val="0"/>
            <c:bubble3D val="0"/>
            <c:spPr>
              <a:solidFill>
                <a:srgbClr val="002060"/>
              </a:solidFill>
              <a:ln>
                <a:solidFill>
                  <a:srgbClr val="000E2A"/>
                </a:solid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76D6-4B23-AC68-A87A595F7EE6}"/>
              </c:ext>
            </c:extLst>
          </c:dPt>
          <c:dPt>
            <c:idx val="1"/>
            <c:bubble3D val="0"/>
            <c:spPr>
              <a:solidFill>
                <a:srgbClr val="C0000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76D6-4B23-AC68-A87A595F7EE6}"/>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All Trade'!$A$65:$A$66</c:f>
              <c:strCache>
                <c:ptCount val="2"/>
                <c:pt idx="0">
                  <c:v>Export of Goods</c:v>
                </c:pt>
                <c:pt idx="1">
                  <c:v>Export of Services</c:v>
                </c:pt>
              </c:strCache>
            </c:strRef>
          </c:cat>
          <c:val>
            <c:numRef>
              <c:f>'1. All Trade'!$C$65:$C$66</c:f>
              <c:numCache>
                <c:formatCode>_-[$£-809]* #,##0.0_-;\-[$£-809]* #,##0.0_-;_-[$£-809]* "-"??_-;_-@_-</c:formatCode>
                <c:ptCount val="2"/>
                <c:pt idx="0">
                  <c:v>338.73899999999998</c:v>
                </c:pt>
                <c:pt idx="1">
                  <c:v>278.8</c:v>
                </c:pt>
              </c:numCache>
            </c:numRef>
          </c:val>
          <c:extLst>
            <c:ext xmlns:c16="http://schemas.microsoft.com/office/drawing/2014/chart" uri="{C3380CC4-5D6E-409C-BE32-E72D297353CC}">
              <c16:uniqueId val="{00000004-0440-4D28-AA0A-A9AEC23BF0F6}"/>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47682780164564925"/>
          <c:y val="0.51409768035752279"/>
          <c:w val="0.26464012627754663"/>
          <c:h val="0.2592104084334591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85000"/>
                  <a:lumOff val="1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r>
              <a:rPr lang="en-AU" sz="1800" b="0" i="0" baseline="0">
                <a:solidFill>
                  <a:schemeClr val="tx1">
                    <a:lumMod val="75000"/>
                    <a:lumOff val="25000"/>
                  </a:schemeClr>
                </a:solidFill>
                <a:effectLst/>
              </a:rPr>
              <a:t>Comparative Nominal Goods Exports to EU: </a:t>
            </a:r>
          </a:p>
          <a:p>
            <a:pPr>
              <a:defRPr>
                <a:solidFill>
                  <a:schemeClr val="tx1">
                    <a:lumMod val="75000"/>
                    <a:lumOff val="25000"/>
                  </a:schemeClr>
                </a:solidFill>
              </a:defRPr>
            </a:pPr>
            <a:r>
              <a:rPr lang="en-AU" sz="1800" b="0" i="0" baseline="0">
                <a:solidFill>
                  <a:schemeClr val="tx1">
                    <a:lumMod val="75000"/>
                    <a:lumOff val="25000"/>
                  </a:schemeClr>
                </a:solidFill>
                <a:effectLst/>
              </a:rPr>
              <a:t>UK &amp; US, 1999‒2018</a:t>
            </a:r>
            <a:endParaRPr lang="en-AU">
              <a:solidFill>
                <a:schemeClr val="tx1">
                  <a:lumMod val="75000"/>
                  <a:lumOff val="25000"/>
                </a:schemeClr>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'2. Trade in Goods'!$D$306</c:f>
              <c:strCache>
                <c:ptCount val="1"/>
                <c:pt idx="0">
                  <c:v>UK Exports to EU</c:v>
                </c:pt>
              </c:strCache>
            </c:strRef>
          </c:tx>
          <c:spPr>
            <a:ln w="28575" cap="rnd">
              <a:solidFill>
                <a:srgbClr val="002060"/>
              </a:solidFill>
              <a:round/>
            </a:ln>
            <a:effectLst/>
          </c:spPr>
          <c:marker>
            <c:symbol val="none"/>
          </c:marker>
          <c:cat>
            <c:strRef>
              <c:f>'2. Trade in Goods'!$F$305:$Y$305</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Goods'!$F$306:$Y$306</c:f>
              <c:numCache>
                <c:formatCode>General</c:formatCode>
                <c:ptCount val="20"/>
                <c:pt idx="0">
                  <c:v>102.352</c:v>
                </c:pt>
                <c:pt idx="1">
                  <c:v>112.834</c:v>
                </c:pt>
                <c:pt idx="2">
                  <c:v>113.941</c:v>
                </c:pt>
                <c:pt idx="3">
                  <c:v>114.76600000000001</c:v>
                </c:pt>
                <c:pt idx="4">
                  <c:v>111.623</c:v>
                </c:pt>
                <c:pt idx="5">
                  <c:v>112.324</c:v>
                </c:pt>
                <c:pt idx="6">
                  <c:v>121.92</c:v>
                </c:pt>
                <c:pt idx="7">
                  <c:v>153.387</c:v>
                </c:pt>
                <c:pt idx="8">
                  <c:v>128.17599999999999</c:v>
                </c:pt>
                <c:pt idx="9">
                  <c:v>142.404</c:v>
                </c:pt>
                <c:pt idx="10">
                  <c:v>125.664</c:v>
                </c:pt>
                <c:pt idx="11">
                  <c:v>144.50800000000001</c:v>
                </c:pt>
                <c:pt idx="12">
                  <c:v>162.88300000000001</c:v>
                </c:pt>
                <c:pt idx="13">
                  <c:v>152.501</c:v>
                </c:pt>
                <c:pt idx="14">
                  <c:v>151.22300000000001</c:v>
                </c:pt>
                <c:pt idx="15">
                  <c:v>146.87200000000001</c:v>
                </c:pt>
                <c:pt idx="16">
                  <c:v>133.66399999999999</c:v>
                </c:pt>
                <c:pt idx="17">
                  <c:v>142.70500000000001</c:v>
                </c:pt>
                <c:pt idx="18">
                  <c:v>164.08099999999999</c:v>
                </c:pt>
                <c:pt idx="19">
                  <c:v>172.21100000000001</c:v>
                </c:pt>
              </c:numCache>
            </c:numRef>
          </c:val>
          <c:smooth val="0"/>
          <c:extLst>
            <c:ext xmlns:c16="http://schemas.microsoft.com/office/drawing/2014/chart" uri="{C3380CC4-5D6E-409C-BE32-E72D297353CC}">
              <c16:uniqueId val="{00000000-DE89-4C45-BC6D-7FF6822DA528}"/>
            </c:ext>
          </c:extLst>
        </c:ser>
        <c:ser>
          <c:idx val="1"/>
          <c:order val="1"/>
          <c:tx>
            <c:strRef>
              <c:f>'2. Trade in Goods'!$D$307</c:f>
              <c:strCache>
                <c:ptCount val="1"/>
                <c:pt idx="0">
                  <c:v>US Exports to EU</c:v>
                </c:pt>
              </c:strCache>
            </c:strRef>
          </c:tx>
          <c:spPr>
            <a:ln w="28575" cap="rnd">
              <a:solidFill>
                <a:srgbClr val="990000"/>
              </a:solidFill>
              <a:round/>
            </a:ln>
            <a:effectLst/>
          </c:spPr>
          <c:marker>
            <c:symbol val="none"/>
          </c:marker>
          <c:cat>
            <c:strRef>
              <c:f>'2. Trade in Goods'!$F$305:$Y$305</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Goods'!$F$307:$Y$307</c:f>
              <c:numCache>
                <c:formatCode>0.00</c:formatCode>
                <c:ptCount val="20"/>
                <c:pt idx="0">
                  <c:v>95.673671199011125</c:v>
                </c:pt>
                <c:pt idx="1">
                  <c:v>111.02310231023102</c:v>
                </c:pt>
                <c:pt idx="2">
                  <c:v>112.43055555555556</c:v>
                </c:pt>
                <c:pt idx="3">
                  <c:v>97.733333333333334</c:v>
                </c:pt>
                <c:pt idx="4">
                  <c:v>95.229357798165125</c:v>
                </c:pt>
                <c:pt idx="5">
                  <c:v>93.398799781778507</c:v>
                </c:pt>
                <c:pt idx="6">
                  <c:v>101.75824175824175</c:v>
                </c:pt>
                <c:pt idx="7">
                  <c:v>114.97558328811721</c:v>
                </c:pt>
                <c:pt idx="8">
                  <c:v>121.97802197802199</c:v>
                </c:pt>
                <c:pt idx="9">
                  <c:v>146.52291105121296</c:v>
                </c:pt>
                <c:pt idx="10">
                  <c:v>140.95846645367413</c:v>
                </c:pt>
                <c:pt idx="11">
                  <c:v>154.98059508408795</c:v>
                </c:pt>
                <c:pt idx="12">
                  <c:v>167.76807980049875</c:v>
                </c:pt>
                <c:pt idx="13">
                  <c:v>167.44479495268138</c:v>
                </c:pt>
                <c:pt idx="14">
                  <c:v>167.47603833865816</c:v>
                </c:pt>
                <c:pt idx="15">
                  <c:v>167.65776699029126</c:v>
                </c:pt>
                <c:pt idx="16">
                  <c:v>177.8286461739699</c:v>
                </c:pt>
                <c:pt idx="17">
                  <c:v>198.74631268436576</c:v>
                </c:pt>
                <c:pt idx="18">
                  <c:v>219.78277734678048</c:v>
                </c:pt>
                <c:pt idx="19">
                  <c:v>239.54887218045113</c:v>
                </c:pt>
              </c:numCache>
            </c:numRef>
          </c:val>
          <c:smooth val="0"/>
          <c:extLst>
            <c:ext xmlns:c16="http://schemas.microsoft.com/office/drawing/2014/chart" uri="{C3380CC4-5D6E-409C-BE32-E72D297353CC}">
              <c16:uniqueId val="{00000001-DE89-4C45-BC6D-7FF6822DA528}"/>
            </c:ext>
          </c:extLst>
        </c:ser>
        <c:dLbls>
          <c:showLegendKey val="0"/>
          <c:showVal val="0"/>
          <c:showCatName val="0"/>
          <c:showSerName val="0"/>
          <c:showPercent val="0"/>
          <c:showBubbleSize val="0"/>
        </c:dLbls>
        <c:smooth val="0"/>
        <c:axId val="818235600"/>
        <c:axId val="818233960"/>
      </c:lineChart>
      <c:catAx>
        <c:axId val="81823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crossAx val="818233960"/>
        <c:crosses val="autoZero"/>
        <c:auto val="1"/>
        <c:lblAlgn val="ctr"/>
        <c:lblOffset val="100"/>
        <c:tickMarkSkip val="2"/>
        <c:noMultiLvlLbl val="0"/>
      </c:catAx>
      <c:valAx>
        <c:axId val="818233960"/>
        <c:scaling>
          <c:orientation val="minMax"/>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r>
                  <a:rPr lang="en-AU">
                    <a:solidFill>
                      <a:schemeClr val="tx1">
                        <a:lumMod val="75000"/>
                        <a:lumOff val="25000"/>
                      </a:schemeClr>
                    </a:solidFill>
                    <a:latin typeface="Calibri" panose="020F0502020204030204" pitchFamily="34" charset="0"/>
                    <a:cs typeface="Calibri" panose="020F0502020204030204" pitchFamily="34" charset="0"/>
                  </a:rPr>
                  <a:t>£ billion in currenct exchange</a:t>
                </a:r>
                <a:r>
                  <a:rPr lang="en-AU" baseline="0">
                    <a:solidFill>
                      <a:schemeClr val="tx1">
                        <a:lumMod val="75000"/>
                        <a:lumOff val="25000"/>
                      </a:schemeClr>
                    </a:solidFill>
                    <a:latin typeface="Calibri" panose="020F0502020204030204" pitchFamily="34" charset="0"/>
                    <a:cs typeface="Calibri" panose="020F0502020204030204" pitchFamily="34" charset="0"/>
                  </a:rPr>
                  <a:t> rates</a:t>
                </a:r>
                <a:endParaRPr lang="en-AU">
                  <a:solidFill>
                    <a:schemeClr val="tx1">
                      <a:lumMod val="75000"/>
                      <a:lumOff val="25000"/>
                    </a:schemeClr>
                  </a:solidFill>
                </a:endParaRPr>
              </a:p>
            </c:rich>
          </c:tx>
          <c:layout>
            <c:manualLayout>
              <c:xMode val="edge"/>
              <c:yMode val="edge"/>
              <c:x val="1.6119399196286473E-2"/>
              <c:y val="0.14791666666666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818235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US" b="1">
                <a:solidFill>
                  <a:schemeClr val="tx1">
                    <a:lumMod val="75000"/>
                    <a:lumOff val="25000"/>
                  </a:schemeClr>
                </a:solidFill>
              </a:rPr>
              <a:t>UK</a:t>
            </a:r>
            <a:r>
              <a:rPr lang="en-US" b="1" baseline="0">
                <a:solidFill>
                  <a:schemeClr val="tx1">
                    <a:lumMod val="75000"/>
                    <a:lumOff val="25000"/>
                  </a:schemeClr>
                </a:solidFill>
              </a:rPr>
              <a:t> top exports to non-EU countries, </a:t>
            </a:r>
            <a:r>
              <a:rPr lang="en-US" b="1" baseline="0">
                <a:solidFill>
                  <a:schemeClr val="tx1">
                    <a:lumMod val="75000"/>
                    <a:lumOff val="25000"/>
                  </a:schemeClr>
                </a:solidFill>
                <a:latin typeface="Calibri" panose="020F0502020204030204" pitchFamily="34" charset="0"/>
                <a:cs typeface="Calibri" panose="020F0502020204030204" pitchFamily="34" charset="0"/>
              </a:rPr>
              <a:t>£178.4 bn </a:t>
            </a:r>
            <a:r>
              <a:rPr lang="en-US" b="1" baseline="0">
                <a:solidFill>
                  <a:schemeClr val="tx1">
                    <a:lumMod val="75000"/>
                    <a:lumOff val="25000"/>
                  </a:schemeClr>
                </a:solidFill>
              </a:rPr>
              <a:t>2018</a:t>
            </a:r>
            <a:endParaRPr lang="en-US" b="1">
              <a:solidFill>
                <a:schemeClr val="tx1">
                  <a:lumMod val="75000"/>
                  <a:lumOff val="25000"/>
                </a:schemeClr>
              </a:solidFill>
            </a:endParaRPr>
          </a:p>
        </c:rich>
      </c:tx>
      <c:layout>
        <c:manualLayout>
          <c:xMode val="edge"/>
          <c:yMode val="edge"/>
          <c:x val="0.15315955766192732"/>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6.9569553805774273E-2"/>
          <c:y val="0.14393518518518519"/>
          <c:w val="0.46086111111111111"/>
          <c:h val="0.76810185185185187"/>
        </c:manualLayout>
      </c:layout>
      <c:doughnutChart>
        <c:varyColors val="1"/>
        <c:ser>
          <c:idx val="0"/>
          <c:order val="0"/>
          <c:tx>
            <c:strRef>
              <c:f>'6. WTO, non-EU &amp; EFTA'!$B$17</c:f>
              <c:strCache>
                <c:ptCount val="1"/>
                <c:pt idx="0">
                  <c:v>(£ bn): 2018</c:v>
                </c:pt>
              </c:strCache>
            </c:strRef>
          </c:tx>
          <c:dPt>
            <c:idx val="0"/>
            <c:bubble3D val="0"/>
            <c:spPr>
              <a:solidFill>
                <a:srgbClr val="002060"/>
              </a:solidFill>
              <a:ln w="19050">
                <a:solidFill>
                  <a:schemeClr val="lt1"/>
                </a:solidFill>
              </a:ln>
              <a:effectLst/>
            </c:spPr>
            <c:extLst>
              <c:ext xmlns:c16="http://schemas.microsoft.com/office/drawing/2014/chart" uri="{C3380CC4-5D6E-409C-BE32-E72D297353CC}">
                <c16:uniqueId val="{00000003-1EE8-4650-95AE-EDD515A9E99F}"/>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4-1EE8-4650-95AE-EDD515A9E99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73C-4D6F-BDF6-CA017544470D}"/>
              </c:ext>
            </c:extLst>
          </c:dPt>
          <c:dPt>
            <c:idx val="3"/>
            <c:bubble3D val="0"/>
            <c:spPr>
              <a:solidFill>
                <a:schemeClr val="accent2">
                  <a:lumMod val="50000"/>
                </a:schemeClr>
              </a:solidFill>
              <a:ln w="19050">
                <a:solidFill>
                  <a:schemeClr val="lt1"/>
                </a:solidFill>
              </a:ln>
              <a:effectLst/>
            </c:spPr>
            <c:extLst>
              <c:ext xmlns:c16="http://schemas.microsoft.com/office/drawing/2014/chart" uri="{C3380CC4-5D6E-409C-BE32-E72D297353CC}">
                <c16:uniqueId val="{00000006-1EE8-4650-95AE-EDD515A9E99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1-1EE8-4650-95AE-EDD515A9E99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2-1EE8-4650-95AE-EDD515A9E99F}"/>
              </c:ext>
            </c:extLst>
          </c:dPt>
          <c:dPt>
            <c:idx val="6"/>
            <c:bubble3D val="0"/>
            <c:spPr>
              <a:solidFill>
                <a:srgbClr val="FFC000"/>
              </a:solidFill>
              <a:ln w="19050">
                <a:solidFill>
                  <a:schemeClr val="lt1"/>
                </a:solidFill>
              </a:ln>
              <a:effectLst/>
            </c:spPr>
            <c:extLst>
              <c:ext xmlns:c16="http://schemas.microsoft.com/office/drawing/2014/chart" uri="{C3380CC4-5D6E-409C-BE32-E72D297353CC}">
                <c16:uniqueId val="{00000007-1EE8-4650-95AE-EDD515A9E99F}"/>
              </c:ext>
            </c:extLst>
          </c:dPt>
          <c:dPt>
            <c:idx val="7"/>
            <c:bubble3D val="0"/>
            <c:spPr>
              <a:solidFill>
                <a:srgbClr val="FF6600"/>
              </a:solidFill>
              <a:ln w="19050">
                <a:solidFill>
                  <a:schemeClr val="lt1"/>
                </a:solidFill>
              </a:ln>
              <a:effectLst/>
            </c:spPr>
            <c:extLst>
              <c:ext xmlns:c16="http://schemas.microsoft.com/office/drawing/2014/chart" uri="{C3380CC4-5D6E-409C-BE32-E72D297353CC}">
                <c16:uniqueId val="{00000008-1EE8-4650-95AE-EDD515A9E99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73C-4D6F-BDF6-CA017544470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573C-4D6F-BDF6-CA017544470D}"/>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573C-4D6F-BDF6-CA017544470D}"/>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573C-4D6F-BDF6-CA017544470D}"/>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573C-4D6F-BDF6-CA017544470D}"/>
              </c:ext>
            </c:extLst>
          </c:dPt>
          <c:dPt>
            <c:idx val="13"/>
            <c:bubble3D val="0"/>
            <c:spPr>
              <a:solidFill>
                <a:srgbClr val="062B03"/>
              </a:solidFill>
              <a:ln w="19050">
                <a:solidFill>
                  <a:schemeClr val="lt1"/>
                </a:solidFill>
              </a:ln>
              <a:effectLst/>
            </c:spPr>
            <c:extLst>
              <c:ext xmlns:c16="http://schemas.microsoft.com/office/drawing/2014/chart" uri="{C3380CC4-5D6E-409C-BE32-E72D297353CC}">
                <c16:uniqueId val="{00000005-1EE8-4650-95AE-EDD515A9E99F}"/>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3-1EE8-4650-95AE-EDD515A9E99F}"/>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4-1EE8-4650-95AE-EDD515A9E99F}"/>
                </c:ext>
              </c:extLst>
            </c:dLbl>
            <c:dLbl>
              <c:idx val="4"/>
              <c:layout>
                <c:manualLayout>
                  <c:x val="-2.7777777777777779E-3"/>
                  <c:y val="3.1963470319634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E8-4650-95AE-EDD515A9E99F}"/>
                </c:ext>
              </c:extLst>
            </c:dLbl>
            <c:dLbl>
              <c:idx val="5"/>
              <c:layout>
                <c:manualLayout>
                  <c:x val="-1.1111111111111136E-2"/>
                  <c:y val="4.56621004566210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E8-4650-95AE-EDD515A9E99F}"/>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5-1EE8-4650-95AE-EDD515A9E99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'6. WTO, non-EU &amp; EFTA'!$A$18:$A$31</c:f>
              <c:strCache>
                <c:ptCount val="14"/>
                <c:pt idx="0">
                  <c:v>United States inc Puerto Rico</c:v>
                </c:pt>
                <c:pt idx="1">
                  <c:v>China</c:v>
                </c:pt>
                <c:pt idx="2">
                  <c:v>Hong Kong</c:v>
                </c:pt>
                <c:pt idx="3">
                  <c:v>Switzerland</c:v>
                </c:pt>
                <c:pt idx="4">
                  <c:v>Japan</c:v>
                </c:pt>
                <c:pt idx="5">
                  <c:v>United Arab Emirates</c:v>
                </c:pt>
                <c:pt idx="6">
                  <c:v>South Korea</c:v>
                </c:pt>
                <c:pt idx="7">
                  <c:v>Canada</c:v>
                </c:pt>
                <c:pt idx="8">
                  <c:v>India</c:v>
                </c:pt>
                <c:pt idx="9">
                  <c:v>Turkey</c:v>
                </c:pt>
                <c:pt idx="10">
                  <c:v>Singapore</c:v>
                </c:pt>
                <c:pt idx="11">
                  <c:v>Australia</c:v>
                </c:pt>
                <c:pt idx="12">
                  <c:v>Norway</c:v>
                </c:pt>
                <c:pt idx="13">
                  <c:v>Other</c:v>
                </c:pt>
              </c:strCache>
            </c:strRef>
          </c:cat>
          <c:val>
            <c:numRef>
              <c:f>'6. WTO, non-EU &amp; EFTA'!$B$18:$B$31</c:f>
              <c:numCache>
                <c:formatCode>_-[$£-809]* #,##0.0_-;\-[$£-809]* #,##0.0_-;_-[$£-809]* "-"??_-;_-@_-</c:formatCode>
                <c:ptCount val="14"/>
                <c:pt idx="0">
                  <c:v>54.908000000000001</c:v>
                </c:pt>
                <c:pt idx="1">
                  <c:v>18.510999999999999</c:v>
                </c:pt>
                <c:pt idx="2">
                  <c:v>8.3339999999999996</c:v>
                </c:pt>
                <c:pt idx="3">
                  <c:v>7.2949999999999999</c:v>
                </c:pt>
                <c:pt idx="4">
                  <c:v>7.008</c:v>
                </c:pt>
                <c:pt idx="5">
                  <c:v>6.8570000000000002</c:v>
                </c:pt>
                <c:pt idx="6">
                  <c:v>6.3369999999999997</c:v>
                </c:pt>
                <c:pt idx="7">
                  <c:v>6.077</c:v>
                </c:pt>
                <c:pt idx="8">
                  <c:v>5.5129999999999999</c:v>
                </c:pt>
                <c:pt idx="9">
                  <c:v>5.2309999999999999</c:v>
                </c:pt>
                <c:pt idx="10">
                  <c:v>5.0250000000000004</c:v>
                </c:pt>
                <c:pt idx="11">
                  <c:v>5.0060000000000002</c:v>
                </c:pt>
                <c:pt idx="12">
                  <c:v>3.6360000000000001</c:v>
                </c:pt>
                <c:pt idx="13">
                  <c:v>38.701999999999998</c:v>
                </c:pt>
              </c:numCache>
            </c:numRef>
          </c:val>
          <c:extLst>
            <c:ext xmlns:c16="http://schemas.microsoft.com/office/drawing/2014/chart" uri="{C3380CC4-5D6E-409C-BE32-E72D297353CC}">
              <c16:uniqueId val="{00000000-1EE8-4650-95AE-EDD515A9E99F}"/>
            </c:ext>
          </c:extLst>
        </c:ser>
        <c:dLbls>
          <c:showLegendKey val="0"/>
          <c:showVal val="1"/>
          <c:showCatName val="0"/>
          <c:showSerName val="0"/>
          <c:showPercent val="0"/>
          <c:showBubbleSize val="0"/>
          <c:showLeaderLines val="1"/>
        </c:dLbls>
        <c:firstSliceAng val="0"/>
        <c:holeSize val="57"/>
      </c:doughnutChart>
      <c:spPr>
        <a:noFill/>
        <a:ln>
          <a:noFill/>
        </a:ln>
        <a:effectLst/>
      </c:spPr>
    </c:plotArea>
    <c:legend>
      <c:legendPos val="b"/>
      <c:layout>
        <c:manualLayout>
          <c:xMode val="edge"/>
          <c:yMode val="edge"/>
          <c:x val="0.55511876640419944"/>
          <c:y val="0.13599154272382619"/>
          <c:w val="0.41198468941382327"/>
          <c:h val="0.831601049868766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r>
              <a:rPr lang="en-AU">
                <a:solidFill>
                  <a:schemeClr val="tx1">
                    <a:lumMod val="75000"/>
                    <a:lumOff val="25000"/>
                  </a:schemeClr>
                </a:solidFill>
              </a:rPr>
              <a:t>Goods</a:t>
            </a:r>
            <a:r>
              <a:rPr lang="en-AU" baseline="0">
                <a:solidFill>
                  <a:schemeClr val="tx1">
                    <a:lumMod val="75000"/>
                    <a:lumOff val="25000"/>
                  </a:schemeClr>
                </a:solidFill>
              </a:rPr>
              <a:t> Exports to top 13 non-EU Markets, 2018</a:t>
            </a:r>
            <a:endParaRPr lang="en-AU">
              <a:solidFill>
                <a:schemeClr val="tx1">
                  <a:lumMod val="75000"/>
                  <a:lumOff val="25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3.5005834305717617E-2"/>
          <c:y val="0.25161384785579488"/>
          <c:w val="0.42265915710361174"/>
          <c:h val="0.74838615214420512"/>
        </c:manualLayout>
      </c:layout>
      <c:doughnutChart>
        <c:varyColors val="1"/>
        <c:ser>
          <c:idx val="0"/>
          <c:order val="0"/>
          <c:dPt>
            <c:idx val="0"/>
            <c:bubble3D val="0"/>
            <c:spPr>
              <a:solidFill>
                <a:srgbClr val="002060"/>
              </a:solidFill>
              <a:ln w="19050">
                <a:solidFill>
                  <a:schemeClr val="lt1"/>
                </a:solidFill>
              </a:ln>
              <a:effectLst/>
            </c:spPr>
            <c:extLst>
              <c:ext xmlns:c16="http://schemas.microsoft.com/office/drawing/2014/chart" uri="{C3380CC4-5D6E-409C-BE32-E72D297353CC}">
                <c16:uniqueId val="{00000001-7A56-46F7-A8DD-44578CF2C294}"/>
              </c:ext>
            </c:extLst>
          </c:dPt>
          <c:dPt>
            <c:idx val="1"/>
            <c:bubble3D val="0"/>
            <c:spPr>
              <a:solidFill>
                <a:srgbClr val="990000"/>
              </a:solidFill>
              <a:ln w="19050">
                <a:solidFill>
                  <a:schemeClr val="lt1"/>
                </a:solidFill>
              </a:ln>
              <a:effectLst/>
            </c:spPr>
            <c:extLst>
              <c:ext xmlns:c16="http://schemas.microsoft.com/office/drawing/2014/chart" uri="{C3380CC4-5D6E-409C-BE32-E72D297353CC}">
                <c16:uniqueId val="{00000002-7A56-46F7-A8DD-44578CF2C294}"/>
              </c:ext>
            </c:extLst>
          </c:dPt>
          <c:dPt>
            <c:idx val="2"/>
            <c:bubble3D val="0"/>
            <c:spPr>
              <a:solidFill>
                <a:srgbClr val="062B03"/>
              </a:solidFill>
              <a:ln w="19050">
                <a:solidFill>
                  <a:schemeClr val="lt1"/>
                </a:solidFill>
              </a:ln>
              <a:effectLst/>
            </c:spPr>
            <c:extLst>
              <c:ext xmlns:c16="http://schemas.microsoft.com/office/drawing/2014/chart" uri="{C3380CC4-5D6E-409C-BE32-E72D297353CC}">
                <c16:uniqueId val="{00000004-7A56-46F7-A8DD-44578CF2C294}"/>
              </c:ext>
            </c:extLst>
          </c:dPt>
          <c:dPt>
            <c:idx val="3"/>
            <c:bubble3D val="0"/>
            <c:spPr>
              <a:solidFill>
                <a:srgbClr val="FD6B6B"/>
              </a:solidFill>
              <a:ln w="19050">
                <a:solidFill>
                  <a:schemeClr val="lt1"/>
                </a:solidFill>
              </a:ln>
              <a:effectLst/>
            </c:spPr>
            <c:extLst>
              <c:ext xmlns:c16="http://schemas.microsoft.com/office/drawing/2014/chart" uri="{C3380CC4-5D6E-409C-BE32-E72D297353CC}">
                <c16:uniqueId val="{00000003-7A56-46F7-A8DD-44578CF2C294}"/>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'6. WTO, non-EU &amp; EFTA'!$A$9:$A$12</c:f>
              <c:strCache>
                <c:ptCount val="4"/>
                <c:pt idx="0">
                  <c:v> WTO trade partners (China since 2001)</c:v>
                </c:pt>
                <c:pt idx="1">
                  <c:v>Switzerland, Turkey &amp; Norway</c:v>
                </c:pt>
                <c:pt idx="2">
                  <c:v>South Korea (WTO, 1999 to 2011)</c:v>
                </c:pt>
                <c:pt idx="3">
                  <c:v>Other (FTA, Lomé + remaining WTO &amp; EFTA</c:v>
                </c:pt>
              </c:strCache>
            </c:strRef>
          </c:cat>
          <c:val>
            <c:numRef>
              <c:f>'6. WTO, non-EU &amp; EFTA'!$B$9:$B$12</c:f>
              <c:numCache>
                <c:formatCode>_-[$£-809]* #,##0.0_-;\-[$£-809]* #,##0.0_-;_-[$£-809]* "-"??_-;_-@_-</c:formatCode>
                <c:ptCount val="4"/>
                <c:pt idx="0">
                  <c:v>117.239</c:v>
                </c:pt>
                <c:pt idx="1">
                  <c:v>16.161999999999999</c:v>
                </c:pt>
                <c:pt idx="2">
                  <c:v>6.3369999999999997</c:v>
                </c:pt>
                <c:pt idx="3">
                  <c:v>38.701999999999984</c:v>
                </c:pt>
              </c:numCache>
            </c:numRef>
          </c:val>
          <c:extLst>
            <c:ext xmlns:c16="http://schemas.microsoft.com/office/drawing/2014/chart" uri="{C3380CC4-5D6E-409C-BE32-E72D297353CC}">
              <c16:uniqueId val="{00000000-7A56-46F7-A8DD-44578CF2C294}"/>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46430599325609384"/>
          <c:y val="0.36201546604195139"/>
          <c:w val="0.51235678387342776"/>
          <c:h val="0.573351988026290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95000"/>
          <a:lumOff val="5000"/>
        </a:schemeClr>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 non-EU trade in goods: 1999 – 2018</a:t>
            </a:r>
          </a:p>
        </c:rich>
      </c:tx>
      <c:overlay val="0"/>
      <c:spPr>
        <a:noFill/>
        <a:ln>
          <a:noFill/>
        </a:ln>
        <a:effectLst/>
      </c:spPr>
      <c:txPr>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'2. Trade in Goods'!$A$143</c:f>
              <c:strCache>
                <c:ptCount val="1"/>
                <c:pt idx="0">
                  <c:v>Total goods exports to Non-EU </c:v>
                </c:pt>
              </c:strCache>
            </c:strRef>
          </c:tx>
          <c:spPr>
            <a:solidFill>
              <a:srgbClr val="800000"/>
            </a:solidFill>
            <a:ln>
              <a:solidFill>
                <a:srgbClr val="990000"/>
              </a:solidFill>
            </a:ln>
            <a:effectLst/>
          </c:spPr>
          <c:invertIfNegative val="0"/>
          <c:cat>
            <c:strRef>
              <c:f>'2. Trade in Goods'!$C$142:$V$142</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Goods'!$C$143:$V$143</c:f>
              <c:numCache>
                <c:formatCode>0.000</c:formatCode>
                <c:ptCount val="20"/>
                <c:pt idx="0">
                  <c:v>88.183288409703508</c:v>
                </c:pt>
                <c:pt idx="1">
                  <c:v>100.16578947368421</c:v>
                </c:pt>
                <c:pt idx="2">
                  <c:v>98.813071895424827</c:v>
                </c:pt>
                <c:pt idx="3">
                  <c:v>95.745358090185661</c:v>
                </c:pt>
                <c:pt idx="4">
                  <c:v>100.61488250652742</c:v>
                </c:pt>
                <c:pt idx="5">
                  <c:v>104.45921052631579</c:v>
                </c:pt>
                <c:pt idx="6">
                  <c:v>115.56870229007635</c:v>
                </c:pt>
                <c:pt idx="7">
                  <c:v>114.07240948813984</c:v>
                </c:pt>
                <c:pt idx="8">
                  <c:v>119.12626262626262</c:v>
                </c:pt>
                <c:pt idx="9">
                  <c:v>126.41542002301495</c:v>
                </c:pt>
                <c:pt idx="10">
                  <c:v>112.74944567627495</c:v>
                </c:pt>
                <c:pt idx="11">
                  <c:v>129.11380400421496</c:v>
                </c:pt>
                <c:pt idx="12">
                  <c:v>141.20340681362725</c:v>
                </c:pt>
                <c:pt idx="13">
                  <c:v>147.92245720040282</c:v>
                </c:pt>
                <c:pt idx="14">
                  <c:v>146.96256157635469</c:v>
                </c:pt>
                <c:pt idx="15">
                  <c:v>148.32048681541582</c:v>
                </c:pt>
                <c:pt idx="16">
                  <c:v>162.34146341463415</c:v>
                </c:pt>
                <c:pt idx="17">
                  <c:v>156.36799999999999</c:v>
                </c:pt>
                <c:pt idx="18">
                  <c:v>166.34095238095236</c:v>
                </c:pt>
                <c:pt idx="19">
                  <c:v>165.6824512534819</c:v>
                </c:pt>
              </c:numCache>
            </c:numRef>
          </c:val>
          <c:extLst>
            <c:ext xmlns:c16="http://schemas.microsoft.com/office/drawing/2014/chart" uri="{C3380CC4-5D6E-409C-BE32-E72D297353CC}">
              <c16:uniqueId val="{00000000-5BC9-44E1-A908-57BD864E6907}"/>
            </c:ext>
          </c:extLst>
        </c:ser>
        <c:ser>
          <c:idx val="1"/>
          <c:order val="1"/>
          <c:tx>
            <c:strRef>
              <c:f>'2. Trade in Goods'!$A$144</c:f>
              <c:strCache>
                <c:ptCount val="1"/>
                <c:pt idx="0">
                  <c:v>Total goods imports from Non-EU</c:v>
                </c:pt>
              </c:strCache>
            </c:strRef>
          </c:tx>
          <c:spPr>
            <a:solidFill>
              <a:srgbClr val="002060"/>
            </a:solidFill>
            <a:ln>
              <a:noFill/>
            </a:ln>
            <a:effectLst/>
          </c:spPr>
          <c:invertIfNegative val="0"/>
          <c:cat>
            <c:strRef>
              <c:f>'2. Trade in Goods'!$C$142:$V$142</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Goods'!$C$144:$V$144</c:f>
              <c:numCache>
                <c:formatCode>0.000</c:formatCode>
                <c:ptCount val="20"/>
                <c:pt idx="0">
                  <c:v>108.00000000000001</c:v>
                </c:pt>
                <c:pt idx="1">
                  <c:v>128.70379436964504</c:v>
                </c:pt>
                <c:pt idx="2">
                  <c:v>128.77205882352942</c:v>
                </c:pt>
                <c:pt idx="3">
                  <c:v>122.9609079445145</c:v>
                </c:pt>
                <c:pt idx="4">
                  <c:v>126.2191435768262</c:v>
                </c:pt>
                <c:pt idx="5">
                  <c:v>138.80459770114945</c:v>
                </c:pt>
                <c:pt idx="6">
                  <c:v>151.61234567901232</c:v>
                </c:pt>
                <c:pt idx="7">
                  <c:v>164.91095066185321</c:v>
                </c:pt>
                <c:pt idx="8">
                  <c:v>167.96650717703349</c:v>
                </c:pt>
                <c:pt idx="9">
                  <c:v>171.59744408945684</c:v>
                </c:pt>
                <c:pt idx="10">
                  <c:v>153.90501043841337</c:v>
                </c:pt>
                <c:pt idx="11">
                  <c:v>175.97681451612902</c:v>
                </c:pt>
                <c:pt idx="12">
                  <c:v>183.20640904806788</c:v>
                </c:pt>
                <c:pt idx="13">
                  <c:v>187.3599240265907</c:v>
                </c:pt>
                <c:pt idx="14">
                  <c:v>188.73565380997178</c:v>
                </c:pt>
                <c:pt idx="15">
                  <c:v>187.42296368989204</c:v>
                </c:pt>
                <c:pt idx="16">
                  <c:v>191.70833333333334</c:v>
                </c:pt>
                <c:pt idx="17">
                  <c:v>194.65799999999999</c:v>
                </c:pt>
                <c:pt idx="18">
                  <c:v>205.85104364326375</c:v>
                </c:pt>
                <c:pt idx="19">
                  <c:v>205.41528545119706</c:v>
                </c:pt>
              </c:numCache>
            </c:numRef>
          </c:val>
          <c:extLst>
            <c:ext xmlns:c16="http://schemas.microsoft.com/office/drawing/2014/chart" uri="{C3380CC4-5D6E-409C-BE32-E72D297353CC}">
              <c16:uniqueId val="{00000001-5BC9-44E1-A908-57BD864E6907}"/>
            </c:ext>
          </c:extLst>
        </c:ser>
        <c:ser>
          <c:idx val="2"/>
          <c:order val="2"/>
          <c:tx>
            <c:strRef>
              <c:f>'2. Trade in Goods'!$A$145</c:f>
              <c:strCache>
                <c:ptCount val="1"/>
                <c:pt idx="0">
                  <c:v>Balance</c:v>
                </c:pt>
              </c:strCache>
            </c:strRef>
          </c:tx>
          <c:spPr>
            <a:solidFill>
              <a:schemeClr val="accent3"/>
            </a:solidFill>
            <a:ln>
              <a:solidFill>
                <a:schemeClr val="bg2">
                  <a:lumMod val="25000"/>
                </a:schemeClr>
              </a:solidFill>
            </a:ln>
            <a:effectLst/>
          </c:spPr>
          <c:invertIfNegative val="0"/>
          <c:cat>
            <c:strRef>
              <c:f>'2. Trade in Goods'!$C$142:$V$142</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Goods'!$C$145:$V$145</c:f>
              <c:numCache>
                <c:formatCode>0.00</c:formatCode>
                <c:ptCount val="20"/>
                <c:pt idx="0">
                  <c:v>-19.816711590296507</c:v>
                </c:pt>
                <c:pt idx="1">
                  <c:v>-28.538004895960825</c:v>
                </c:pt>
                <c:pt idx="2">
                  <c:v>-29.958986928104594</c:v>
                </c:pt>
                <c:pt idx="3">
                  <c:v>-27.215549854328842</c:v>
                </c:pt>
                <c:pt idx="4">
                  <c:v>-25.604261070298776</c:v>
                </c:pt>
                <c:pt idx="5">
                  <c:v>-34.345387174833661</c:v>
                </c:pt>
                <c:pt idx="6">
                  <c:v>-36.043643388935976</c:v>
                </c:pt>
                <c:pt idx="7">
                  <c:v>-50.838541173713367</c:v>
                </c:pt>
                <c:pt idx="8">
                  <c:v>-48.840244550770876</c:v>
                </c:pt>
                <c:pt idx="9">
                  <c:v>-45.182024066441898</c:v>
                </c:pt>
                <c:pt idx="10">
                  <c:v>-41.155564762138425</c:v>
                </c:pt>
                <c:pt idx="11">
                  <c:v>-46.863010511914069</c:v>
                </c:pt>
                <c:pt idx="12">
                  <c:v>-42.003002234440629</c:v>
                </c:pt>
                <c:pt idx="13">
                  <c:v>-39.437466826187887</c:v>
                </c:pt>
                <c:pt idx="14">
                  <c:v>-41.773092233617092</c:v>
                </c:pt>
                <c:pt idx="15">
                  <c:v>-39.102476874476224</c:v>
                </c:pt>
                <c:pt idx="16">
                  <c:v>-29.366869918699194</c:v>
                </c:pt>
                <c:pt idx="17">
                  <c:v>-38.289999999999992</c:v>
                </c:pt>
                <c:pt idx="18" formatCode="_-[$£-809]* #,##0.00_-;\-[$£-809]* #,##0.00_-;_-[$£-809]* &quot;-&quot;??_-;_-@_-">
                  <c:v>-39.510091262311391</c:v>
                </c:pt>
                <c:pt idx="19">
                  <c:v>-39.732834197715164</c:v>
                </c:pt>
              </c:numCache>
            </c:numRef>
          </c:val>
          <c:extLst>
            <c:ext xmlns:c16="http://schemas.microsoft.com/office/drawing/2014/chart" uri="{C3380CC4-5D6E-409C-BE32-E72D297353CC}">
              <c16:uniqueId val="{00000002-5BC9-44E1-A908-57BD864E6907}"/>
            </c:ext>
          </c:extLst>
        </c:ser>
        <c:dLbls>
          <c:showLegendKey val="0"/>
          <c:showVal val="0"/>
          <c:showCatName val="0"/>
          <c:showSerName val="0"/>
          <c:showPercent val="0"/>
          <c:showBubbleSize val="0"/>
        </c:dLbls>
        <c:gapWidth val="219"/>
        <c:overlap val="-27"/>
        <c:axId val="516911408"/>
        <c:axId val="516909768"/>
      </c:barChart>
      <c:catAx>
        <c:axId val="51691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16909768"/>
        <c:crosses val="autoZero"/>
        <c:auto val="1"/>
        <c:lblAlgn val="ctr"/>
        <c:lblOffset val="700"/>
        <c:noMultiLvlLbl val="0"/>
      </c:catAx>
      <c:valAx>
        <c:axId val="516909768"/>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911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AU" sz="1400" b="1" i="0" u="none" strike="noStrike" kern="1200" spc="0" baseline="0">
                <a:solidFill>
                  <a:schemeClr val="tx1">
                    <a:lumMod val="75000"/>
                    <a:lumOff val="25000"/>
                  </a:schemeClr>
                </a:solidFill>
                <a:latin typeface="+mn-lt"/>
                <a:ea typeface="+mn-ea"/>
                <a:cs typeface="+mn-cs"/>
              </a:defRPr>
            </a:pPr>
            <a:r>
              <a:rPr lang="en-AU" sz="1400" b="1" i="0" u="none" strike="noStrike" kern="1200" spc="0" baseline="0">
                <a:solidFill>
                  <a:schemeClr val="tx1">
                    <a:lumMod val="75000"/>
                    <a:lumOff val="25000"/>
                  </a:schemeClr>
                </a:solidFill>
                <a:latin typeface="+mn-lt"/>
                <a:ea typeface="+mn-ea"/>
                <a:cs typeface="+mn-cs"/>
              </a:rPr>
              <a:t>Change in EU's share of UK trade in goods</a:t>
            </a:r>
          </a:p>
        </c:rich>
      </c:tx>
      <c:overlay val="0"/>
      <c:spPr>
        <a:noFill/>
        <a:ln>
          <a:noFill/>
        </a:ln>
        <a:effectLst/>
      </c:spPr>
      <c:txPr>
        <a:bodyPr rot="0" spcFirstLastPara="1" vertOverflow="ellipsis" vert="horz" wrap="square" anchor="ctr" anchorCtr="1"/>
        <a:lstStyle/>
        <a:p>
          <a:pPr algn="ctr" rtl="0">
            <a:defRPr lang="en-AU"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8.0346603870777841E-2"/>
          <c:y val="0.13588235294117648"/>
          <c:w val="0.89395246154978292"/>
          <c:h val="0.63092584015233388"/>
        </c:manualLayout>
      </c:layout>
      <c:barChart>
        <c:barDir val="col"/>
        <c:grouping val="clustered"/>
        <c:varyColors val="0"/>
        <c:ser>
          <c:idx val="0"/>
          <c:order val="0"/>
          <c:tx>
            <c:strRef>
              <c:f>'2. Trade in Goods'!$B$84</c:f>
              <c:strCache>
                <c:ptCount val="1"/>
                <c:pt idx="0">
                  <c:v>1998</c:v>
                </c:pt>
              </c:strCache>
            </c:strRef>
          </c:tx>
          <c:spPr>
            <a:solidFill>
              <a:srgbClr val="990000"/>
            </a:solidFill>
            <a:ln w="6350">
              <a:solidFill>
                <a:srgbClr val="990000"/>
              </a:solidFill>
            </a:ln>
            <a:effectLst/>
          </c:spPr>
          <c:invertIfNegative val="0"/>
          <c:dPt>
            <c:idx val="0"/>
            <c:invertIfNegative val="0"/>
            <c:bubble3D val="0"/>
            <c:spPr>
              <a:solidFill>
                <a:srgbClr val="990000"/>
              </a:solidFill>
              <a:ln w="6350">
                <a:solidFill>
                  <a:srgbClr val="990000"/>
                </a:solidFill>
              </a:ln>
              <a:effectLst/>
            </c:spPr>
            <c:extLst>
              <c:ext xmlns:c16="http://schemas.microsoft.com/office/drawing/2014/chart" uri="{C3380CC4-5D6E-409C-BE32-E72D297353CC}">
                <c16:uniqueId val="{00000001-A223-464D-9E49-23BD90E1A837}"/>
              </c:ext>
            </c:extLst>
          </c:dPt>
          <c:dLbls>
            <c:spPr>
              <a:noFill/>
              <a:ln>
                <a:noFill/>
              </a:ln>
              <a:effectLst/>
            </c:spPr>
            <c:txPr>
              <a:bodyPr rot="0" spcFirstLastPara="1" vertOverflow="ellipsis" vert="horz" wrap="square" anchor="ctr" anchorCtr="0"/>
              <a:lstStyle/>
              <a:p>
                <a:pPr algn="ctr">
                  <a:defRPr lang="en-AU"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Goods'!$A$85:$A$86</c:f>
              <c:strCache>
                <c:ptCount val="2"/>
                <c:pt idx="0">
                  <c:v>Exports</c:v>
                </c:pt>
                <c:pt idx="1">
                  <c:v>Imports</c:v>
                </c:pt>
              </c:strCache>
            </c:strRef>
          </c:cat>
          <c:val>
            <c:numRef>
              <c:f>'2. Trade in Goods'!$B$85:$B$86</c:f>
              <c:numCache>
                <c:formatCode>0.0%</c:formatCode>
                <c:ptCount val="2"/>
                <c:pt idx="0">
                  <c:v>0.60254985653397264</c:v>
                </c:pt>
                <c:pt idx="1">
                  <c:v>0.54623251445197463</c:v>
                </c:pt>
              </c:numCache>
            </c:numRef>
          </c:val>
          <c:extLst>
            <c:ext xmlns:c16="http://schemas.microsoft.com/office/drawing/2014/chart" uri="{C3380CC4-5D6E-409C-BE32-E72D297353CC}">
              <c16:uniqueId val="{00000002-A223-464D-9E49-23BD90E1A837}"/>
            </c:ext>
          </c:extLst>
        </c:ser>
        <c:ser>
          <c:idx val="1"/>
          <c:order val="1"/>
          <c:tx>
            <c:strRef>
              <c:f>'2. Trade in Goods'!$C$84</c:f>
              <c:strCache>
                <c:ptCount val="1"/>
                <c:pt idx="0">
                  <c:v>2018</c:v>
                </c:pt>
              </c:strCache>
            </c:strRef>
          </c:tx>
          <c:spPr>
            <a:solidFill>
              <a:srgbClr val="002060"/>
            </a:solidFill>
            <a:ln w="9525">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Goods'!$A$85:$A$86</c:f>
              <c:strCache>
                <c:ptCount val="2"/>
                <c:pt idx="0">
                  <c:v>Exports</c:v>
                </c:pt>
                <c:pt idx="1">
                  <c:v>Imports</c:v>
                </c:pt>
              </c:strCache>
            </c:strRef>
          </c:cat>
          <c:val>
            <c:numRef>
              <c:f>'2. Trade in Goods'!$C$85:$C$86</c:f>
              <c:numCache>
                <c:formatCode>0.0%</c:formatCode>
                <c:ptCount val="2"/>
                <c:pt idx="0">
                  <c:v>0.48441826747735051</c:v>
                </c:pt>
                <c:pt idx="1">
                  <c:v>0.54549903074723272</c:v>
                </c:pt>
              </c:numCache>
            </c:numRef>
          </c:val>
          <c:extLst>
            <c:ext xmlns:c16="http://schemas.microsoft.com/office/drawing/2014/chart" uri="{C3380CC4-5D6E-409C-BE32-E72D297353CC}">
              <c16:uniqueId val="{00000003-A223-464D-9E49-23BD90E1A837}"/>
            </c:ext>
          </c:extLst>
        </c:ser>
        <c:dLbls>
          <c:dLblPos val="inEnd"/>
          <c:showLegendKey val="0"/>
          <c:showVal val="1"/>
          <c:showCatName val="0"/>
          <c:showSerName val="0"/>
          <c:showPercent val="0"/>
          <c:showBubbleSize val="0"/>
        </c:dLbls>
        <c:gapWidth val="219"/>
        <c:overlap val="-27"/>
        <c:axId val="608408488"/>
        <c:axId val="608408816"/>
      </c:barChart>
      <c:catAx>
        <c:axId val="608408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608408816"/>
        <c:crosses val="autoZero"/>
        <c:auto val="1"/>
        <c:lblAlgn val="ctr"/>
        <c:lblOffset val="100"/>
        <c:noMultiLvlLbl val="0"/>
      </c:catAx>
      <c:valAx>
        <c:axId val="608408816"/>
        <c:scaling>
          <c:orientation val="minMax"/>
          <c:max val="0.7500000000000001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08408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50"/>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tx1">
                    <a:lumMod val="75000"/>
                    <a:lumOff val="25000"/>
                  </a:schemeClr>
                </a:solidFill>
                <a:latin typeface="+mn-lt"/>
                <a:ea typeface="+mn-ea"/>
                <a:cs typeface="+mn-cs"/>
              </a:defRPr>
            </a:pPr>
            <a:r>
              <a:rPr lang="en-US" sz="1400" b="1" i="0" u="none" strike="noStrike" kern="1200" spc="0" baseline="0">
                <a:solidFill>
                  <a:schemeClr val="tx1">
                    <a:lumMod val="75000"/>
                    <a:lumOff val="25000"/>
                  </a:schemeClr>
                </a:solidFill>
                <a:latin typeface="+mn-lt"/>
                <a:ea typeface="+mn-ea"/>
                <a:cs typeface="+mn-cs"/>
              </a:rPr>
              <a:t>UK-EU and US-China 2018 </a:t>
            </a:r>
            <a:br>
              <a:rPr lang="en-US" sz="1400" b="1" i="0" u="none" strike="noStrike" kern="1200" spc="0" baseline="0">
                <a:solidFill>
                  <a:schemeClr val="tx1">
                    <a:lumMod val="75000"/>
                    <a:lumOff val="25000"/>
                  </a:schemeClr>
                </a:solidFill>
                <a:latin typeface="+mn-lt"/>
                <a:ea typeface="+mn-ea"/>
                <a:cs typeface="+mn-cs"/>
              </a:rPr>
            </a:br>
            <a:r>
              <a:rPr lang="en-US" sz="1400" b="1" i="0" u="none" strike="noStrike" kern="1200" spc="0" baseline="0">
                <a:solidFill>
                  <a:schemeClr val="tx1">
                    <a:lumMod val="75000"/>
                    <a:lumOff val="25000"/>
                  </a:schemeClr>
                </a:solidFill>
                <a:latin typeface="+mn-lt"/>
                <a:ea typeface="+mn-ea"/>
                <a:cs typeface="+mn-cs"/>
              </a:rPr>
              <a:t>Deficits compared: US$ bn</a:t>
            </a:r>
          </a:p>
        </c:rich>
      </c:tx>
      <c:layout>
        <c:manualLayout>
          <c:xMode val="edge"/>
          <c:yMode val="edge"/>
          <c:x val="0.29475737590122114"/>
          <c:y val="4.5553137555615561E-2"/>
        </c:manualLayout>
      </c:layout>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'2. Trade in Goods'!$B$237</c:f>
              <c:strCache>
                <c:ptCount val="1"/>
                <c:pt idx="0">
                  <c:v>US$ bn</c:v>
                </c:pt>
              </c:strCache>
            </c:strRef>
          </c:tx>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AC9E-4072-BE4D-B7C9539EF4D2}"/>
              </c:ext>
            </c:extLst>
          </c:dPt>
          <c:dPt>
            <c:idx val="1"/>
            <c:invertIfNegative val="0"/>
            <c:bubble3D val="0"/>
            <c:spPr>
              <a:solidFill>
                <a:srgbClr val="C00000"/>
              </a:solidFill>
              <a:ln>
                <a:noFill/>
              </a:ln>
              <a:effectLst/>
            </c:spPr>
            <c:extLst>
              <c:ext xmlns:c16="http://schemas.microsoft.com/office/drawing/2014/chart" uri="{C3380CC4-5D6E-409C-BE32-E72D297353CC}">
                <c16:uniqueId val="{00000003-AC9E-4072-BE4D-B7C9539EF4D2}"/>
              </c:ext>
            </c:extLst>
          </c:dPt>
          <c:cat>
            <c:strRef>
              <c:f>'2. Trade in Goods'!$A$238:$A$239</c:f>
              <c:strCache>
                <c:ptCount val="2"/>
                <c:pt idx="0">
                  <c:v>US‒China </c:v>
                </c:pt>
                <c:pt idx="1">
                  <c:v>UK‒EU</c:v>
                </c:pt>
              </c:strCache>
            </c:strRef>
          </c:cat>
          <c:val>
            <c:numRef>
              <c:f>'2. Trade in Goods'!$B$238:$B$239</c:f>
              <c:numCache>
                <c:formatCode>_-"$"* #,##0.0_-;\-"$"* #,##0.0_-;_-"$"* "-"??_-;_-@_-</c:formatCode>
                <c:ptCount val="2"/>
                <c:pt idx="0">
                  <c:v>378.66200000000003</c:v>
                </c:pt>
                <c:pt idx="1">
                  <c:v>85.183840000000004</c:v>
                </c:pt>
              </c:numCache>
            </c:numRef>
          </c:val>
          <c:extLst>
            <c:ext xmlns:c16="http://schemas.microsoft.com/office/drawing/2014/chart" uri="{C3380CC4-5D6E-409C-BE32-E72D297353CC}">
              <c16:uniqueId val="{00000004-AC9E-4072-BE4D-B7C9539EF4D2}"/>
            </c:ext>
          </c:extLst>
        </c:ser>
        <c:dLbls>
          <c:showLegendKey val="0"/>
          <c:showVal val="0"/>
          <c:showCatName val="0"/>
          <c:showSerName val="0"/>
          <c:showPercent val="0"/>
          <c:showBubbleSize val="0"/>
        </c:dLbls>
        <c:gapWidth val="87"/>
        <c:axId val="625382200"/>
        <c:axId val="625377280"/>
      </c:barChart>
      <c:catAx>
        <c:axId val="625382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crossAx val="625377280"/>
        <c:crosses val="autoZero"/>
        <c:auto val="1"/>
        <c:lblAlgn val="ctr"/>
        <c:lblOffset val="100"/>
        <c:noMultiLvlLbl val="0"/>
      </c:catAx>
      <c:valAx>
        <c:axId val="625377280"/>
        <c:scaling>
          <c:orientation val="minMax"/>
          <c:max val="350"/>
          <c:min val="0"/>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625382200"/>
        <c:crosses val="autoZero"/>
        <c:crossBetween val="between"/>
        <c:majorUnit val="50"/>
        <c:minorUnit val="1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US" b="1"/>
              <a:t>Deficit in goods and services per person: 2018</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barChart>
        <c:barDir val="col"/>
        <c:grouping val="clustered"/>
        <c:varyColors val="0"/>
        <c:ser>
          <c:idx val="0"/>
          <c:order val="0"/>
          <c:tx>
            <c:strRef>
              <c:f>'2. Trade in Goods'!$B$245</c:f>
              <c:strCache>
                <c:ptCount val="1"/>
                <c:pt idx="0">
                  <c:v>US$ </c:v>
                </c:pt>
              </c:strCache>
            </c:strRef>
          </c:tx>
          <c:spPr>
            <a:solidFill>
              <a:schemeClr val="accent1"/>
            </a:solidFill>
            <a:ln>
              <a:noFill/>
            </a:ln>
            <a:effectLst/>
          </c:spPr>
          <c:invertIfNegative val="0"/>
          <c:dPt>
            <c:idx val="0"/>
            <c:invertIfNegative val="0"/>
            <c:bubble3D val="0"/>
            <c:spPr>
              <a:solidFill>
                <a:srgbClr val="C00000"/>
              </a:solidFill>
              <a:ln>
                <a:solidFill>
                  <a:srgbClr val="990000"/>
                </a:solidFill>
              </a:ln>
              <a:effectLst/>
            </c:spPr>
            <c:extLst>
              <c:ext xmlns:c16="http://schemas.microsoft.com/office/drawing/2014/chart" uri="{C3380CC4-5D6E-409C-BE32-E72D297353CC}">
                <c16:uniqueId val="{00000001-041F-4AA4-95A8-0089029AA4A1}"/>
              </c:ext>
            </c:extLst>
          </c:dPt>
          <c:dPt>
            <c:idx val="1"/>
            <c:invertIfNegative val="0"/>
            <c:bubble3D val="0"/>
            <c:spPr>
              <a:solidFill>
                <a:srgbClr val="002060"/>
              </a:solidFill>
              <a:ln>
                <a:noFill/>
              </a:ln>
              <a:effectLst/>
            </c:spPr>
            <c:extLst>
              <c:ext xmlns:c16="http://schemas.microsoft.com/office/drawing/2014/chart" uri="{C3380CC4-5D6E-409C-BE32-E72D297353CC}">
                <c16:uniqueId val="{00000003-041F-4AA4-95A8-0089029AA4A1}"/>
              </c:ext>
            </c:extLst>
          </c:dPt>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Goods'!$A$246:$A$247</c:f>
              <c:strCache>
                <c:ptCount val="2"/>
                <c:pt idx="0">
                  <c:v>US deficit with China </c:v>
                </c:pt>
                <c:pt idx="1">
                  <c:v>UK deficit with EU</c:v>
                </c:pt>
              </c:strCache>
            </c:strRef>
          </c:cat>
          <c:val>
            <c:numRef>
              <c:f>'2. Trade in Goods'!$B$246:$B$247</c:f>
              <c:numCache>
                <c:formatCode>_-[$$-409]* #,##0_ ;_-[$$-409]* \-#,##0\ ;_-[$$-409]* "-"??_ ;_-@_ </c:formatCode>
                <c:ptCount val="2"/>
                <c:pt idx="0">
                  <c:v>1176.6998135487881</c:v>
                </c:pt>
                <c:pt idx="1">
                  <c:v>1316.5972179289026</c:v>
                </c:pt>
              </c:numCache>
            </c:numRef>
          </c:val>
          <c:extLst>
            <c:ext xmlns:c16="http://schemas.microsoft.com/office/drawing/2014/chart" uri="{C3380CC4-5D6E-409C-BE32-E72D297353CC}">
              <c16:uniqueId val="{00000004-041F-4AA4-95A8-0089029AA4A1}"/>
            </c:ext>
          </c:extLst>
        </c:ser>
        <c:dLbls>
          <c:showLegendKey val="0"/>
          <c:showVal val="0"/>
          <c:showCatName val="0"/>
          <c:showSerName val="0"/>
          <c:showPercent val="0"/>
          <c:showBubbleSize val="0"/>
        </c:dLbls>
        <c:gapWidth val="219"/>
        <c:overlap val="-27"/>
        <c:axId val="429755488"/>
        <c:axId val="429755816"/>
      </c:barChart>
      <c:catAx>
        <c:axId val="42975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crossAx val="429755816"/>
        <c:crosses val="autoZero"/>
        <c:auto val="1"/>
        <c:lblAlgn val="ctr"/>
        <c:lblOffset val="100"/>
        <c:noMultiLvlLbl val="0"/>
      </c:catAx>
      <c:valAx>
        <c:axId val="429755816"/>
        <c:scaling>
          <c:orientation val="minMax"/>
          <c:max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r>
                  <a:rPr lang="en-US" sz="1100" b="1"/>
                  <a:t>Deficit per peron</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429755488"/>
        <c:crosses val="autoZero"/>
        <c:crossBetween val="between"/>
        <c:majorUnit val="50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solidFill>
                  <a:schemeClr val="tx1">
                    <a:lumMod val="75000"/>
                    <a:lumOff val="25000"/>
                  </a:schemeClr>
                </a:solidFill>
              </a:rPr>
              <a:t>Annual Growth Rates</a:t>
            </a:r>
            <a:r>
              <a:rPr lang="en-AU" b="1" baseline="0">
                <a:solidFill>
                  <a:schemeClr val="tx1">
                    <a:lumMod val="75000"/>
                    <a:lumOff val="25000"/>
                  </a:schemeClr>
                </a:solidFill>
              </a:rPr>
              <a:t>, 1999 </a:t>
            </a:r>
            <a:r>
              <a:rPr lang="en-AU" b="1" baseline="0">
                <a:solidFill>
                  <a:schemeClr val="tx1">
                    <a:lumMod val="75000"/>
                    <a:lumOff val="25000"/>
                  </a:schemeClr>
                </a:solidFill>
                <a:latin typeface="Calibri" panose="020F0502020204030204" pitchFamily="34" charset="0"/>
                <a:cs typeface="Calibri" panose="020F0502020204030204" pitchFamily="34" charset="0"/>
              </a:rPr>
              <a:t>‒ 2018</a:t>
            </a:r>
            <a:endParaRPr lang="en-AU" b="1">
              <a:solidFill>
                <a:schemeClr val="tx1">
                  <a:lumMod val="75000"/>
                  <a:lumOff val="25000"/>
                </a:schemeClr>
              </a:solidFill>
            </a:endParaRPr>
          </a:p>
        </c:rich>
      </c:tx>
      <c:layout>
        <c:manualLayout>
          <c:xMode val="edge"/>
          <c:yMode val="edge"/>
          <c:x val="0.21011789151356078"/>
          <c:y val="5.504587155963303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002060"/>
            </a:solidFill>
            <a:ln>
              <a:noFill/>
            </a:ln>
            <a:effectLst/>
          </c:spPr>
          <c:invertIfNegative val="0"/>
          <c:dPt>
            <c:idx val="1"/>
            <c:invertIfNegative val="0"/>
            <c:bubble3D val="0"/>
            <c:spPr>
              <a:solidFill>
                <a:srgbClr val="800000"/>
              </a:solidFill>
              <a:ln>
                <a:noFill/>
              </a:ln>
              <a:effectLst/>
            </c:spPr>
            <c:extLst>
              <c:ext xmlns:c16="http://schemas.microsoft.com/office/drawing/2014/chart" uri="{C3380CC4-5D6E-409C-BE32-E72D297353CC}">
                <c16:uniqueId val="{00000001-08E8-4043-B9AB-7327431FEB78}"/>
              </c:ext>
            </c:extLst>
          </c:dPt>
          <c:dPt>
            <c:idx val="2"/>
            <c:invertIfNegative val="0"/>
            <c:bubble3D val="0"/>
            <c:spPr>
              <a:solidFill>
                <a:srgbClr val="062B03"/>
              </a:solidFill>
              <a:ln>
                <a:noFill/>
              </a:ln>
              <a:effectLst/>
            </c:spPr>
            <c:extLst>
              <c:ext xmlns:c16="http://schemas.microsoft.com/office/drawing/2014/chart" uri="{C3380CC4-5D6E-409C-BE32-E72D297353CC}">
                <c16:uniqueId val="{00000003-08E8-4043-B9AB-7327431FEB78}"/>
              </c:ext>
            </c:extLst>
          </c:dPt>
          <c:dPt>
            <c:idx val="3"/>
            <c:invertIfNegative val="0"/>
            <c:bubble3D val="0"/>
            <c:spPr>
              <a:solidFill>
                <a:schemeClr val="accent2">
                  <a:lumMod val="50000"/>
                </a:schemeClr>
              </a:solidFill>
              <a:ln>
                <a:noFill/>
              </a:ln>
              <a:effectLst/>
            </c:spPr>
            <c:extLst>
              <c:ext xmlns:c16="http://schemas.microsoft.com/office/drawing/2014/chart" uri="{C3380CC4-5D6E-409C-BE32-E72D297353CC}">
                <c16:uniqueId val="{00000005-08E8-4043-B9AB-7327431FEB78}"/>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Goods'!$A$258:$A$261</c:f>
              <c:strCache>
                <c:ptCount val="4"/>
                <c:pt idx="0">
                  <c:v>UK Goods Exports to EU</c:v>
                </c:pt>
                <c:pt idx="1">
                  <c:v>UK Productivity </c:v>
                </c:pt>
                <c:pt idx="2">
                  <c:v>Eurozone GDP*</c:v>
                </c:pt>
                <c:pt idx="3">
                  <c:v>US Goods Exports to EU </c:v>
                </c:pt>
              </c:strCache>
            </c:strRef>
          </c:cat>
          <c:val>
            <c:numRef>
              <c:f>'2. Trade in Goods'!$B$258:$B$261</c:f>
              <c:numCache>
                <c:formatCode>0.00%</c:formatCode>
                <c:ptCount val="4"/>
                <c:pt idx="0">
                  <c:v>3.1002118786171984E-3</c:v>
                </c:pt>
                <c:pt idx="1">
                  <c:v>1.0400000000000003E-2</c:v>
                </c:pt>
                <c:pt idx="2">
                  <c:v>1.5599999999999999E-2</c:v>
                </c:pt>
                <c:pt idx="3">
                  <c:v>2.2429599800198652E-2</c:v>
                </c:pt>
              </c:numCache>
            </c:numRef>
          </c:val>
          <c:extLst>
            <c:ext xmlns:c16="http://schemas.microsoft.com/office/drawing/2014/chart" uri="{C3380CC4-5D6E-409C-BE32-E72D297353CC}">
              <c16:uniqueId val="{00000006-08E8-4043-B9AB-7327431FEB78}"/>
            </c:ext>
          </c:extLst>
        </c:ser>
        <c:dLbls>
          <c:showLegendKey val="0"/>
          <c:showVal val="0"/>
          <c:showCatName val="0"/>
          <c:showSerName val="0"/>
          <c:showPercent val="0"/>
          <c:showBubbleSize val="0"/>
        </c:dLbls>
        <c:gapWidth val="117"/>
        <c:overlap val="-27"/>
        <c:axId val="575806384"/>
        <c:axId val="575803432"/>
      </c:barChart>
      <c:catAx>
        <c:axId val="57580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crossAx val="575803432"/>
        <c:crosses val="autoZero"/>
        <c:auto val="1"/>
        <c:lblAlgn val="ctr"/>
        <c:lblOffset val="100"/>
        <c:noMultiLvlLbl val="0"/>
      </c:catAx>
      <c:valAx>
        <c:axId val="575803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crossAx val="5758063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r>
              <a:rPr lang="en-AU" sz="1800" b="0" i="0" baseline="0">
                <a:solidFill>
                  <a:schemeClr val="tx1">
                    <a:lumMod val="75000"/>
                    <a:lumOff val="25000"/>
                  </a:schemeClr>
                </a:solidFill>
                <a:effectLst/>
              </a:rPr>
              <a:t>Comparative Nominal Goods Exports to EU: </a:t>
            </a:r>
          </a:p>
          <a:p>
            <a:pPr>
              <a:defRPr>
                <a:solidFill>
                  <a:schemeClr val="tx1">
                    <a:lumMod val="75000"/>
                    <a:lumOff val="25000"/>
                  </a:schemeClr>
                </a:solidFill>
              </a:defRPr>
            </a:pPr>
            <a:r>
              <a:rPr lang="en-AU" sz="1800" b="0" i="0" baseline="0">
                <a:solidFill>
                  <a:schemeClr val="tx1">
                    <a:lumMod val="75000"/>
                    <a:lumOff val="25000"/>
                  </a:schemeClr>
                </a:solidFill>
                <a:effectLst/>
              </a:rPr>
              <a:t>UK &amp; US, 1999‒2018</a:t>
            </a:r>
            <a:endParaRPr lang="en-AU">
              <a:solidFill>
                <a:schemeClr val="tx1">
                  <a:lumMod val="75000"/>
                  <a:lumOff val="25000"/>
                </a:schemeClr>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'2. Trade in Goods'!$D$306</c:f>
              <c:strCache>
                <c:ptCount val="1"/>
                <c:pt idx="0">
                  <c:v>UK Exports to EU</c:v>
                </c:pt>
              </c:strCache>
            </c:strRef>
          </c:tx>
          <c:spPr>
            <a:ln w="28575" cap="rnd">
              <a:solidFill>
                <a:srgbClr val="002060"/>
              </a:solidFill>
              <a:round/>
            </a:ln>
            <a:effectLst/>
          </c:spPr>
          <c:marker>
            <c:symbol val="none"/>
          </c:marker>
          <c:cat>
            <c:strRef>
              <c:f>'2. Trade in Goods'!$F$305:$Y$305</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Goods'!$F$306:$Y$306</c:f>
              <c:numCache>
                <c:formatCode>General</c:formatCode>
                <c:ptCount val="20"/>
                <c:pt idx="0">
                  <c:v>102.352</c:v>
                </c:pt>
                <c:pt idx="1">
                  <c:v>112.834</c:v>
                </c:pt>
                <c:pt idx="2">
                  <c:v>113.941</c:v>
                </c:pt>
                <c:pt idx="3">
                  <c:v>114.76600000000001</c:v>
                </c:pt>
                <c:pt idx="4">
                  <c:v>111.623</c:v>
                </c:pt>
                <c:pt idx="5">
                  <c:v>112.324</c:v>
                </c:pt>
                <c:pt idx="6">
                  <c:v>121.92</c:v>
                </c:pt>
                <c:pt idx="7">
                  <c:v>153.387</c:v>
                </c:pt>
                <c:pt idx="8">
                  <c:v>128.17599999999999</c:v>
                </c:pt>
                <c:pt idx="9">
                  <c:v>142.404</c:v>
                </c:pt>
                <c:pt idx="10">
                  <c:v>125.664</c:v>
                </c:pt>
                <c:pt idx="11">
                  <c:v>144.50800000000001</c:v>
                </c:pt>
                <c:pt idx="12">
                  <c:v>162.88300000000001</c:v>
                </c:pt>
                <c:pt idx="13">
                  <c:v>152.501</c:v>
                </c:pt>
                <c:pt idx="14">
                  <c:v>151.22300000000001</c:v>
                </c:pt>
                <c:pt idx="15">
                  <c:v>146.87200000000001</c:v>
                </c:pt>
                <c:pt idx="16">
                  <c:v>133.66399999999999</c:v>
                </c:pt>
                <c:pt idx="17">
                  <c:v>142.70500000000001</c:v>
                </c:pt>
                <c:pt idx="18">
                  <c:v>164.08099999999999</c:v>
                </c:pt>
                <c:pt idx="19">
                  <c:v>172.21100000000001</c:v>
                </c:pt>
              </c:numCache>
            </c:numRef>
          </c:val>
          <c:smooth val="0"/>
          <c:extLst>
            <c:ext xmlns:c16="http://schemas.microsoft.com/office/drawing/2014/chart" uri="{C3380CC4-5D6E-409C-BE32-E72D297353CC}">
              <c16:uniqueId val="{00000000-82A2-4FAE-B5CD-093EB9532AF0}"/>
            </c:ext>
          </c:extLst>
        </c:ser>
        <c:ser>
          <c:idx val="1"/>
          <c:order val="1"/>
          <c:tx>
            <c:strRef>
              <c:f>'2. Trade in Goods'!$D$307</c:f>
              <c:strCache>
                <c:ptCount val="1"/>
                <c:pt idx="0">
                  <c:v>US Exports to EU</c:v>
                </c:pt>
              </c:strCache>
            </c:strRef>
          </c:tx>
          <c:spPr>
            <a:ln w="28575" cap="rnd">
              <a:solidFill>
                <a:srgbClr val="990000"/>
              </a:solidFill>
              <a:round/>
            </a:ln>
            <a:effectLst/>
          </c:spPr>
          <c:marker>
            <c:symbol val="none"/>
          </c:marker>
          <c:cat>
            <c:strRef>
              <c:f>'2. Trade in Goods'!$F$305:$Y$305</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'2. Trade in Goods'!$F$307:$Y$307</c:f>
              <c:numCache>
                <c:formatCode>0.00</c:formatCode>
                <c:ptCount val="20"/>
                <c:pt idx="0">
                  <c:v>95.673671199011125</c:v>
                </c:pt>
                <c:pt idx="1">
                  <c:v>111.02310231023102</c:v>
                </c:pt>
                <c:pt idx="2">
                  <c:v>112.43055555555556</c:v>
                </c:pt>
                <c:pt idx="3">
                  <c:v>97.733333333333334</c:v>
                </c:pt>
                <c:pt idx="4">
                  <c:v>95.229357798165125</c:v>
                </c:pt>
                <c:pt idx="5">
                  <c:v>93.398799781778507</c:v>
                </c:pt>
                <c:pt idx="6">
                  <c:v>101.75824175824175</c:v>
                </c:pt>
                <c:pt idx="7">
                  <c:v>114.97558328811721</c:v>
                </c:pt>
                <c:pt idx="8">
                  <c:v>121.97802197802199</c:v>
                </c:pt>
                <c:pt idx="9">
                  <c:v>146.52291105121296</c:v>
                </c:pt>
                <c:pt idx="10">
                  <c:v>140.95846645367413</c:v>
                </c:pt>
                <c:pt idx="11">
                  <c:v>154.98059508408795</c:v>
                </c:pt>
                <c:pt idx="12">
                  <c:v>167.76807980049875</c:v>
                </c:pt>
                <c:pt idx="13">
                  <c:v>167.44479495268138</c:v>
                </c:pt>
                <c:pt idx="14">
                  <c:v>167.47603833865816</c:v>
                </c:pt>
                <c:pt idx="15">
                  <c:v>167.65776699029126</c:v>
                </c:pt>
                <c:pt idx="16">
                  <c:v>177.8286461739699</c:v>
                </c:pt>
                <c:pt idx="17">
                  <c:v>198.74631268436576</c:v>
                </c:pt>
                <c:pt idx="18">
                  <c:v>219.78277734678048</c:v>
                </c:pt>
                <c:pt idx="19">
                  <c:v>239.54887218045113</c:v>
                </c:pt>
              </c:numCache>
            </c:numRef>
          </c:val>
          <c:smooth val="0"/>
          <c:extLst>
            <c:ext xmlns:c16="http://schemas.microsoft.com/office/drawing/2014/chart" uri="{C3380CC4-5D6E-409C-BE32-E72D297353CC}">
              <c16:uniqueId val="{00000001-82A2-4FAE-B5CD-093EB9532AF0}"/>
            </c:ext>
          </c:extLst>
        </c:ser>
        <c:dLbls>
          <c:showLegendKey val="0"/>
          <c:showVal val="0"/>
          <c:showCatName val="0"/>
          <c:showSerName val="0"/>
          <c:showPercent val="0"/>
          <c:showBubbleSize val="0"/>
        </c:dLbls>
        <c:smooth val="0"/>
        <c:axId val="818235600"/>
        <c:axId val="818233960"/>
      </c:lineChart>
      <c:catAx>
        <c:axId val="81823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crossAx val="818233960"/>
        <c:crosses val="autoZero"/>
        <c:auto val="1"/>
        <c:lblAlgn val="ctr"/>
        <c:lblOffset val="100"/>
        <c:tickMarkSkip val="2"/>
        <c:noMultiLvlLbl val="0"/>
      </c:catAx>
      <c:valAx>
        <c:axId val="818233960"/>
        <c:scaling>
          <c:orientation val="minMax"/>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r>
                  <a:rPr lang="en-AU">
                    <a:solidFill>
                      <a:schemeClr val="tx1">
                        <a:lumMod val="75000"/>
                        <a:lumOff val="25000"/>
                      </a:schemeClr>
                    </a:solidFill>
                    <a:latin typeface="Calibri" panose="020F0502020204030204" pitchFamily="34" charset="0"/>
                    <a:cs typeface="Calibri" panose="020F0502020204030204" pitchFamily="34" charset="0"/>
                  </a:rPr>
                  <a:t>£ billion in currenct exchange</a:t>
                </a:r>
                <a:r>
                  <a:rPr lang="en-AU" baseline="0">
                    <a:solidFill>
                      <a:schemeClr val="tx1">
                        <a:lumMod val="75000"/>
                        <a:lumOff val="25000"/>
                      </a:schemeClr>
                    </a:solidFill>
                    <a:latin typeface="Calibri" panose="020F0502020204030204" pitchFamily="34" charset="0"/>
                    <a:cs typeface="Calibri" panose="020F0502020204030204" pitchFamily="34" charset="0"/>
                  </a:rPr>
                  <a:t> rates</a:t>
                </a:r>
                <a:endParaRPr lang="en-AU">
                  <a:solidFill>
                    <a:schemeClr val="tx1">
                      <a:lumMod val="75000"/>
                      <a:lumOff val="25000"/>
                    </a:schemeClr>
                  </a:solidFill>
                </a:endParaRPr>
              </a:p>
            </c:rich>
          </c:tx>
          <c:layout>
            <c:manualLayout>
              <c:xMode val="edge"/>
              <c:yMode val="edge"/>
              <c:x val="1.6119399196286473E-2"/>
              <c:y val="0.14791666666666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818235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50" baseline="0">
                <a:solidFill>
                  <a:schemeClr val="tx1">
                    <a:lumMod val="65000"/>
                    <a:lumOff val="35000"/>
                  </a:schemeClr>
                </a:solidFill>
                <a:latin typeface="+mn-lt"/>
                <a:ea typeface="+mn-ea"/>
                <a:cs typeface="+mn-cs"/>
              </a:defRPr>
            </a:pPr>
            <a:r>
              <a:rPr lang="en-AU" cap="none" baseline="0"/>
              <a:t>UK manufacturing exports: 1998</a:t>
            </a:r>
          </a:p>
          <a:p>
            <a:pPr>
              <a:defRPr cap="none"/>
            </a:pPr>
            <a:r>
              <a:rPr lang="en-AU" sz="1200" cap="none" baseline="0"/>
              <a:t>Total: </a:t>
            </a:r>
            <a:r>
              <a:rPr lang="en-AU" sz="1200" cap="none" baseline="0">
                <a:latin typeface="Calibri" panose="020F0502020204030204" pitchFamily="34" charset="0"/>
                <a:cs typeface="Calibri" panose="020F0502020204030204" pitchFamily="34" charset="0"/>
              </a:rPr>
              <a:t>£149.8 bn</a:t>
            </a:r>
            <a:endParaRPr lang="en-AU" sz="1200" cap="none" baseline="0"/>
          </a:p>
        </c:rich>
      </c:tx>
      <c:layout>
        <c:manualLayout>
          <c:xMode val="edge"/>
          <c:yMode val="edge"/>
          <c:x val="0.15608419838523646"/>
          <c:y val="4.4117647058823532E-2"/>
        </c:manualLayout>
      </c:layout>
      <c:overlay val="0"/>
      <c:spPr>
        <a:noFill/>
        <a:ln>
          <a:noFill/>
        </a:ln>
        <a:effectLst/>
      </c:spPr>
      <c:txPr>
        <a:bodyPr rot="0" spcFirstLastPara="1" vertOverflow="ellipsis" vert="horz" wrap="square" anchor="ctr" anchorCtr="1"/>
        <a:lstStyle/>
        <a:p>
          <a:pPr>
            <a:defRPr sz="1400" b="1" i="0" u="none" strike="noStrike" kern="1200" cap="none" spc="5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102952282287766"/>
          <c:y val="0.19937797953827199"/>
          <c:w val="0.41357072633250608"/>
          <c:h val="0.70217941507311588"/>
        </c:manualLayout>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0F28-43B1-BCE4-72E6FA1DAFBB}"/>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0F28-43B1-BCE4-72E6FA1DAFBB}"/>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0F28-43B1-BCE4-72E6FA1DAFBB}"/>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0F28-43B1-BCE4-72E6FA1DAFBB}"/>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0F28-43B1-BCE4-72E6FA1DAFBB}"/>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0F28-43B1-BCE4-72E6FA1DAFBB}"/>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0F28-43B1-BCE4-72E6FA1DAFBB}"/>
              </c:ext>
            </c:extLst>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F-0F28-43B1-BCE4-72E6FA1DAFBB}"/>
              </c:ext>
            </c:extLst>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1-0F28-43B1-BCE4-72E6FA1DAFBB}"/>
              </c:ext>
            </c:extLst>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3-0F28-43B1-BCE4-72E6FA1DAFBB}"/>
              </c:ext>
            </c:extLst>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5-0F28-43B1-BCE4-72E6FA1DAFBB}"/>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'Old_2016 Data Manufacturing'!$A$32:$A$42</c:f>
              <c:strCache>
                <c:ptCount val="11"/>
                <c:pt idx="0">
                  <c:v>1. Motor vehicles </c:v>
                </c:pt>
                <c:pt idx="1">
                  <c:v>2. Transport</c:v>
                </c:pt>
                <c:pt idx="2">
                  <c:v>3. Machinery</c:v>
                </c:pt>
                <c:pt idx="3">
                  <c:v>4. Pharmaceuticals</c:v>
                </c:pt>
                <c:pt idx="4">
                  <c:v>5. Chemicals</c:v>
                </c:pt>
                <c:pt idx="5">
                  <c:v>6. Computers, electronics etc.</c:v>
                </c:pt>
                <c:pt idx="6">
                  <c:v>7. Basic metals</c:v>
                </c:pt>
                <c:pt idx="7">
                  <c:v>8. Food products</c:v>
                </c:pt>
                <c:pt idx="8">
                  <c:v>9. Electrical</c:v>
                </c:pt>
                <c:pt idx="9">
                  <c:v>10. Beverages</c:v>
                </c:pt>
                <c:pt idx="10">
                  <c:v>Other manufactured</c:v>
                </c:pt>
              </c:strCache>
            </c:strRef>
          </c:cat>
          <c:val>
            <c:numRef>
              <c:f>'Old_2016 Data Manufacturing'!$B$32:$B$42</c:f>
              <c:numCache>
                <c:formatCode>_-[$£-809]* #,##0.0_-;\-[$£-809]* #,##0.0_-;_-[$£-809]* "-"??_-;_-@_-</c:formatCode>
                <c:ptCount val="11"/>
                <c:pt idx="0">
                  <c:v>15.856999999999999</c:v>
                </c:pt>
                <c:pt idx="1">
                  <c:v>11.709</c:v>
                </c:pt>
                <c:pt idx="2">
                  <c:v>17.771000000000001</c:v>
                </c:pt>
                <c:pt idx="3">
                  <c:v>6.2160000000000002</c:v>
                </c:pt>
                <c:pt idx="4">
                  <c:v>16.193999999999999</c:v>
                </c:pt>
                <c:pt idx="5">
                  <c:v>31.335999999999999</c:v>
                </c:pt>
                <c:pt idx="6">
                  <c:v>6.0549999999999997</c:v>
                </c:pt>
                <c:pt idx="7">
                  <c:v>5.6379999999999999</c:v>
                </c:pt>
                <c:pt idx="8">
                  <c:v>7.17</c:v>
                </c:pt>
                <c:pt idx="9">
                  <c:v>3.0129999999999999</c:v>
                </c:pt>
                <c:pt idx="10">
                  <c:v>28.791999999999987</c:v>
                </c:pt>
              </c:numCache>
            </c:numRef>
          </c:val>
          <c:extLst>
            <c:ext xmlns:c16="http://schemas.microsoft.com/office/drawing/2014/chart" uri="{C3380CC4-5D6E-409C-BE32-E72D297353CC}">
              <c16:uniqueId val="{00000016-0F28-43B1-BCE4-72E6FA1DAFBB}"/>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55527114041540659"/>
          <c:y val="0.22172456384128456"/>
          <c:w val="0.41650488827573467"/>
          <c:h val="0.7293266288605115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AU" b="1">
                <a:solidFill>
                  <a:schemeClr val="tx1">
                    <a:lumMod val="75000"/>
                    <a:lumOff val="25000"/>
                  </a:schemeClr>
                </a:solidFill>
              </a:rPr>
              <a:t>Annual</a:t>
            </a:r>
            <a:r>
              <a:rPr lang="en-AU" b="1" baseline="0">
                <a:solidFill>
                  <a:schemeClr val="tx1">
                    <a:lumMod val="75000"/>
                    <a:lumOff val="25000"/>
                  </a:schemeClr>
                </a:solidFill>
              </a:rPr>
              <a:t> Growth of UK Trade: 1999 </a:t>
            </a:r>
            <a:r>
              <a:rPr lang="en-AU" b="1" baseline="0">
                <a:solidFill>
                  <a:schemeClr val="tx1">
                    <a:lumMod val="75000"/>
                    <a:lumOff val="25000"/>
                  </a:schemeClr>
                </a:solidFill>
                <a:latin typeface="Calibri" panose="020F0502020204030204" pitchFamily="34" charset="0"/>
                <a:cs typeface="Calibri" panose="020F0502020204030204" pitchFamily="34" charset="0"/>
              </a:rPr>
              <a:t>‒ 2018</a:t>
            </a:r>
            <a:endParaRPr lang="en-AU" b="1">
              <a:solidFill>
                <a:schemeClr val="tx1">
                  <a:lumMod val="75000"/>
                  <a:lumOff val="25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8.57383815694511E-2"/>
          <c:y val="0.15966350527879775"/>
          <c:w val="0.88908711333843315"/>
          <c:h val="0.63223372016153845"/>
        </c:manualLayout>
      </c:layout>
      <c:barChart>
        <c:barDir val="col"/>
        <c:grouping val="clustered"/>
        <c:varyColors val="0"/>
        <c:ser>
          <c:idx val="0"/>
          <c:order val="0"/>
          <c:tx>
            <c:strRef>
              <c:f>'1. All Trade'!$B$88</c:f>
              <c:strCache>
                <c:ptCount val="1"/>
                <c:pt idx="0">
                  <c:v>Exports</c:v>
                </c:pt>
              </c:strCache>
            </c:strRef>
          </c:tx>
          <c:spPr>
            <a:solidFill>
              <a:srgbClr val="002060"/>
            </a:solidFill>
            <a:ln>
              <a:noFill/>
            </a:ln>
            <a:effectLst/>
          </c:spPr>
          <c:invertIfNegative val="0"/>
          <c:dLbls>
            <c:dLbl>
              <c:idx val="1"/>
              <c:layout>
                <c:manualLayout>
                  <c:x val="-5.5555555555555549E-3"/>
                  <c:y val="-4.6294473607465664E-3"/>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7.8013779527559057E-2"/>
                      <c:h val="6.9375182268883062E-2"/>
                    </c:manualLayout>
                  </c15:layout>
                </c:ext>
                <c:ext xmlns:c16="http://schemas.microsoft.com/office/drawing/2014/chart" uri="{C3380CC4-5D6E-409C-BE32-E72D297353CC}">
                  <c16:uniqueId val="{00000006-D7C1-41CA-9FB9-A2C3ADD8323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Trade'!$A$89:$A$92</c:f>
              <c:strCache>
                <c:ptCount val="4"/>
                <c:pt idx="0">
                  <c:v>Goods: Non-EU</c:v>
                </c:pt>
                <c:pt idx="1">
                  <c:v>Goods: EU</c:v>
                </c:pt>
                <c:pt idx="2">
                  <c:v>Services: Non-EU</c:v>
                </c:pt>
                <c:pt idx="3">
                  <c:v>Services: EU</c:v>
                </c:pt>
              </c:strCache>
            </c:strRef>
          </c:cat>
          <c:val>
            <c:numRef>
              <c:f>'1. All Trade'!$B$89:$B$92</c:f>
              <c:numCache>
                <c:formatCode>0.0%</c:formatCode>
                <c:ptCount val="4"/>
                <c:pt idx="0">
                  <c:v>3.1732489464868285E-2</c:v>
                </c:pt>
                <c:pt idx="1">
                  <c:v>3.1002118786171984E-3</c:v>
                </c:pt>
                <c:pt idx="2">
                  <c:v>5.3851589948424872E-2</c:v>
                </c:pt>
                <c:pt idx="3">
                  <c:v>5.1311910835426966E-2</c:v>
                </c:pt>
              </c:numCache>
            </c:numRef>
          </c:val>
          <c:extLst>
            <c:ext xmlns:c16="http://schemas.microsoft.com/office/drawing/2014/chart" uri="{C3380CC4-5D6E-409C-BE32-E72D297353CC}">
              <c16:uniqueId val="{00000000-D7C1-41CA-9FB9-A2C3ADD83234}"/>
            </c:ext>
          </c:extLst>
        </c:ser>
        <c:ser>
          <c:idx val="1"/>
          <c:order val="1"/>
          <c:tx>
            <c:strRef>
              <c:f>'1. All Trade'!$C$88</c:f>
              <c:strCache>
                <c:ptCount val="1"/>
                <c:pt idx="0">
                  <c:v>Imports</c:v>
                </c:pt>
              </c:strCache>
            </c:strRef>
          </c:tx>
          <c:spPr>
            <a:solidFill>
              <a:srgbClr val="99000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2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Trade'!$A$89:$A$92</c:f>
              <c:strCache>
                <c:ptCount val="4"/>
                <c:pt idx="0">
                  <c:v>Goods: Non-EU</c:v>
                </c:pt>
                <c:pt idx="1">
                  <c:v>Goods: EU</c:v>
                </c:pt>
                <c:pt idx="2">
                  <c:v>Services: Non-EU</c:v>
                </c:pt>
                <c:pt idx="3">
                  <c:v>Services: EU</c:v>
                </c:pt>
              </c:strCache>
            </c:strRef>
          </c:cat>
          <c:val>
            <c:numRef>
              <c:f>'1. All Trade'!$C$89:$C$92</c:f>
              <c:numCache>
                <c:formatCode>0.0%</c:formatCode>
                <c:ptCount val="4"/>
                <c:pt idx="0">
                  <c:v>3.018512937515494E-2</c:v>
                </c:pt>
                <c:pt idx="1">
                  <c:v>3.0005842287019302E-2</c:v>
                </c:pt>
                <c:pt idx="2">
                  <c:v>4.5979002408236269E-2</c:v>
                </c:pt>
                <c:pt idx="3">
                  <c:v>3.0924479275734384E-2</c:v>
                </c:pt>
              </c:numCache>
            </c:numRef>
          </c:val>
          <c:extLst>
            <c:ext xmlns:c16="http://schemas.microsoft.com/office/drawing/2014/chart" uri="{C3380CC4-5D6E-409C-BE32-E72D297353CC}">
              <c16:uniqueId val="{00000001-D7C1-41CA-9FB9-A2C3ADD83234}"/>
            </c:ext>
          </c:extLst>
        </c:ser>
        <c:dLbls>
          <c:dLblPos val="inEnd"/>
          <c:showLegendKey val="0"/>
          <c:showVal val="1"/>
          <c:showCatName val="0"/>
          <c:showSerName val="0"/>
          <c:showPercent val="0"/>
          <c:showBubbleSize val="0"/>
        </c:dLbls>
        <c:gapWidth val="219"/>
        <c:overlap val="-27"/>
        <c:axId val="658226672"/>
        <c:axId val="658221752"/>
      </c:barChart>
      <c:catAx>
        <c:axId val="65822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crossAx val="658221752"/>
        <c:crosses val="autoZero"/>
        <c:auto val="1"/>
        <c:lblAlgn val="ctr"/>
        <c:lblOffset val="100"/>
        <c:noMultiLvlLbl val="0"/>
      </c:catAx>
      <c:valAx>
        <c:axId val="658221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crossAx val="658226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260" b="1" i="0" u="none" strike="noStrike" kern="1200" spc="0" baseline="0">
                <a:solidFill>
                  <a:sysClr val="windowText" lastClr="000000">
                    <a:lumMod val="65000"/>
                    <a:lumOff val="35000"/>
                  </a:sysClr>
                </a:solidFill>
                <a:latin typeface="+mn-lt"/>
                <a:ea typeface="+mn-ea"/>
                <a:cs typeface="+mn-cs"/>
              </a:defRPr>
            </a:pPr>
            <a:r>
              <a:rPr lang="en-US" sz="1260" b="1" i="0" u="none" strike="noStrike" kern="1200" spc="0" baseline="0">
                <a:solidFill>
                  <a:sysClr val="windowText" lastClr="000000">
                    <a:lumMod val="65000"/>
                    <a:lumOff val="35000"/>
                  </a:sysClr>
                </a:solidFill>
                <a:latin typeface="+mn-lt"/>
                <a:ea typeface="+mn-ea"/>
                <a:cs typeface="+mn-cs"/>
              </a:rPr>
              <a:t>Growth in UK manufacturing exports to EU &amp; non-EU countries </a:t>
            </a:r>
          </a:p>
          <a:p>
            <a:pPr algn="ctr" rtl="0">
              <a:defRPr lang="en-US" sz="1260" b="1">
                <a:solidFill>
                  <a:sysClr val="windowText" lastClr="000000">
                    <a:lumMod val="65000"/>
                    <a:lumOff val="35000"/>
                  </a:sysClr>
                </a:solidFill>
              </a:defRPr>
            </a:pPr>
            <a:r>
              <a:rPr lang="en-US" sz="1260" b="1" i="0" u="none" strike="noStrike" kern="1200" spc="0" baseline="0">
                <a:solidFill>
                  <a:sysClr val="windowText" lastClr="000000">
                    <a:lumMod val="65000"/>
                    <a:lumOff val="35000"/>
                  </a:sysClr>
                </a:solidFill>
                <a:latin typeface="+mn-lt"/>
                <a:ea typeface="+mn-ea"/>
                <a:cs typeface="+mn-cs"/>
              </a:rPr>
              <a:t>(real prices) : 1998 – 2016</a:t>
            </a:r>
          </a:p>
        </c:rich>
      </c:tx>
      <c:layout>
        <c:manualLayout>
          <c:xMode val="edge"/>
          <c:yMode val="edge"/>
          <c:x val="0.12769365750646208"/>
          <c:y val="3.6620054578039067E-2"/>
        </c:manualLayout>
      </c:layout>
      <c:overlay val="0"/>
      <c:spPr>
        <a:noFill/>
        <a:ln>
          <a:noFill/>
        </a:ln>
        <a:effectLst/>
      </c:spPr>
      <c:txPr>
        <a:bodyPr rot="0" spcFirstLastPara="1" vertOverflow="ellipsis" vert="horz" wrap="square" anchor="ctr" anchorCtr="1"/>
        <a:lstStyle/>
        <a:p>
          <a:pPr algn="ctr" rtl="0">
            <a:defRPr lang="en-US"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8.8263671730579779E-2"/>
          <c:y val="0.24508109530171132"/>
          <c:w val="0.88396789277130183"/>
          <c:h val="0.60285884604476503"/>
        </c:manualLayout>
      </c:layout>
      <c:barChart>
        <c:barDir val="col"/>
        <c:grouping val="clustered"/>
        <c:varyColors val="0"/>
        <c:ser>
          <c:idx val="0"/>
          <c:order val="0"/>
          <c:tx>
            <c:strRef>
              <c:f>'Old_2016 Data Manufacturing'!$H$71</c:f>
              <c:strCache>
                <c:ptCount val="1"/>
                <c:pt idx="0">
                  <c:v> EU</c:v>
                </c:pt>
              </c:strCache>
            </c:strRef>
          </c:tx>
          <c:spPr>
            <a:solidFill>
              <a:srgbClr val="C00000"/>
            </a:solidFill>
            <a:ln>
              <a:solidFill>
                <a:srgbClr val="C00000"/>
              </a:solidFill>
            </a:ln>
            <a:effectLst/>
          </c:spPr>
          <c:invertIfNegative val="0"/>
          <c:dLbls>
            <c:dLbl>
              <c:idx val="0"/>
              <c:layout>
                <c:manualLayout>
                  <c:x val="-2.13128765519592E-3"/>
                  <c:y val="0.13908925401407693"/>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3C-4F17-B57F-7A30317C9552}"/>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'Old_2016 Data Manufacturing'!$G$72:$G$73</c:f>
              <c:strCache>
                <c:ptCount val="2"/>
                <c:pt idx="0">
                  <c:v>Exports</c:v>
                </c:pt>
                <c:pt idx="1">
                  <c:v>Imports</c:v>
                </c:pt>
              </c:strCache>
            </c:strRef>
          </c:cat>
          <c:val>
            <c:numRef>
              <c:f>'Old_2016 Data Manufacturing'!$H$72:$H$73</c:f>
              <c:numCache>
                <c:formatCode>0.0%</c:formatCode>
                <c:ptCount val="2"/>
                <c:pt idx="0">
                  <c:v>1.9000285302516698E-2</c:v>
                </c:pt>
                <c:pt idx="1">
                  <c:v>0.69494180896982505</c:v>
                </c:pt>
              </c:numCache>
            </c:numRef>
          </c:val>
          <c:extLst>
            <c:ext xmlns:c16="http://schemas.microsoft.com/office/drawing/2014/chart" uri="{C3380CC4-5D6E-409C-BE32-E72D297353CC}">
              <c16:uniqueId val="{00000000-CDBF-4CE8-BDA8-FEDE11269312}"/>
            </c:ext>
          </c:extLst>
        </c:ser>
        <c:ser>
          <c:idx val="1"/>
          <c:order val="1"/>
          <c:tx>
            <c:strRef>
              <c:f>'Old_2016 Data Manufacturing'!$I$71</c:f>
              <c:strCache>
                <c:ptCount val="1"/>
                <c:pt idx="0">
                  <c:v> Non-EU</c:v>
                </c:pt>
              </c:strCache>
            </c:strRef>
          </c:tx>
          <c:spPr>
            <a:solidFill>
              <a:srgbClr val="001C54"/>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Manufacturing'!$G$72:$G$73</c:f>
              <c:strCache>
                <c:ptCount val="2"/>
                <c:pt idx="0">
                  <c:v>Exports</c:v>
                </c:pt>
                <c:pt idx="1">
                  <c:v>Imports</c:v>
                </c:pt>
              </c:strCache>
            </c:strRef>
          </c:cat>
          <c:val>
            <c:numRef>
              <c:f>'Old_2016 Data Manufacturing'!$I$72:$I$73</c:f>
              <c:numCache>
                <c:formatCode>0.0%</c:formatCode>
                <c:ptCount val="2"/>
                <c:pt idx="0">
                  <c:v>0.71557028988634375</c:v>
                </c:pt>
                <c:pt idx="1">
                  <c:v>0.635615808354698</c:v>
                </c:pt>
              </c:numCache>
            </c:numRef>
          </c:val>
          <c:extLst>
            <c:ext xmlns:c16="http://schemas.microsoft.com/office/drawing/2014/chart" uri="{C3380CC4-5D6E-409C-BE32-E72D297353CC}">
              <c16:uniqueId val="{00000001-CDBF-4CE8-BDA8-FEDE11269312}"/>
            </c:ext>
          </c:extLst>
        </c:ser>
        <c:dLbls>
          <c:dLblPos val="inEnd"/>
          <c:showLegendKey val="0"/>
          <c:showVal val="1"/>
          <c:showCatName val="0"/>
          <c:showSerName val="0"/>
          <c:showPercent val="0"/>
          <c:showBubbleSize val="0"/>
        </c:dLbls>
        <c:gapWidth val="123"/>
        <c:overlap val="-33"/>
        <c:axId val="509372024"/>
        <c:axId val="509372352"/>
      </c:barChart>
      <c:catAx>
        <c:axId val="509372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crossAx val="509372352"/>
        <c:crosses val="autoZero"/>
        <c:auto val="1"/>
        <c:lblAlgn val="ctr"/>
        <c:lblOffset val="200"/>
        <c:noMultiLvlLbl val="0"/>
      </c:catAx>
      <c:valAx>
        <c:axId val="509372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37202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635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r>
              <a:rPr lang="en-AU"/>
              <a:t>Annual growth in UK trade in manufacturing </a:t>
            </a:r>
            <a:br>
              <a:rPr lang="en-AU"/>
            </a:br>
            <a:r>
              <a:rPr lang="en-AU"/>
              <a:t>(CAGR, real prices): 1998 – 2016</a:t>
            </a:r>
          </a:p>
        </c:rich>
      </c:tx>
      <c:layout>
        <c:manualLayout>
          <c:xMode val="edge"/>
          <c:yMode val="edge"/>
          <c:x val="0.16654315828896107"/>
          <c:y val="2.7860624602030287E-2"/>
        </c:manualLayout>
      </c:layout>
      <c:overlay val="0"/>
      <c:spPr>
        <a:noFill/>
        <a:ln>
          <a:noFill/>
        </a:ln>
        <a:effectLst/>
      </c:spPr>
      <c:txPr>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277273774721776"/>
          <c:y val="0.22877586345704853"/>
          <c:w val="0.80419985894956081"/>
          <c:h val="0.55463483762835664"/>
        </c:manualLayout>
      </c:layout>
      <c:barChart>
        <c:barDir val="bar"/>
        <c:grouping val="clustered"/>
        <c:varyColors val="0"/>
        <c:ser>
          <c:idx val="0"/>
          <c:order val="0"/>
          <c:tx>
            <c:strRef>
              <c:f>'Old_2016 Data Manufacturing'!$B$87</c:f>
              <c:strCache>
                <c:ptCount val="1"/>
                <c:pt idx="0">
                  <c:v>EU</c:v>
                </c:pt>
              </c:strCache>
            </c:strRef>
          </c:tx>
          <c:spPr>
            <a:solidFill>
              <a:srgbClr val="C00000"/>
            </a:solidFill>
            <a:ln>
              <a:solidFill>
                <a:srgbClr val="990000"/>
              </a:solidFill>
            </a:ln>
            <a:effectLst/>
          </c:spPr>
          <c:invertIfNegative val="0"/>
          <c:dLbls>
            <c:dLbl>
              <c:idx val="0"/>
              <c:layout>
                <c:manualLayout>
                  <c:x val="-2.4384372566933843E-3"/>
                  <c:y val="4.563759369397985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8D-4496-95F9-62624421FD3C}"/>
                </c:ext>
              </c:extLst>
            </c:dLbl>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'Old_2016 Data Manufacturing'!$A$88:$A$89</c:f>
              <c:strCache>
                <c:ptCount val="2"/>
                <c:pt idx="0">
                  <c:v>Exports </c:v>
                </c:pt>
                <c:pt idx="1">
                  <c:v>Imports</c:v>
                </c:pt>
              </c:strCache>
            </c:strRef>
          </c:cat>
          <c:val>
            <c:numRef>
              <c:f>'Old_2016 Data Manufacturing'!$B$88:$B$89</c:f>
              <c:numCache>
                <c:formatCode>0.0%</c:formatCode>
                <c:ptCount val="2"/>
                <c:pt idx="0">
                  <c:v>1.1770693419523859E-3</c:v>
                </c:pt>
                <c:pt idx="1">
                  <c:v>3.3527827815381883E-2</c:v>
                </c:pt>
              </c:numCache>
            </c:numRef>
          </c:val>
          <c:extLst>
            <c:ext xmlns:c16="http://schemas.microsoft.com/office/drawing/2014/chart" uri="{C3380CC4-5D6E-409C-BE32-E72D297353CC}">
              <c16:uniqueId val="{00000000-8875-4572-BE41-F73758290292}"/>
            </c:ext>
          </c:extLst>
        </c:ser>
        <c:ser>
          <c:idx val="1"/>
          <c:order val="1"/>
          <c:tx>
            <c:strRef>
              <c:f>'Old_2016 Data Manufacturing'!$C$87</c:f>
              <c:strCache>
                <c:ptCount val="1"/>
                <c:pt idx="0">
                  <c:v>Non-EU </c:v>
                </c:pt>
              </c:strCache>
            </c:strRef>
          </c:tx>
          <c:spPr>
            <a:solidFill>
              <a:srgbClr val="001C54"/>
            </a:solidFill>
            <a:ln>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Manufacturing'!$A$88:$A$89</c:f>
              <c:strCache>
                <c:ptCount val="2"/>
                <c:pt idx="0">
                  <c:v>Exports </c:v>
                </c:pt>
                <c:pt idx="1">
                  <c:v>Imports</c:v>
                </c:pt>
              </c:strCache>
            </c:strRef>
          </c:cat>
          <c:val>
            <c:numRef>
              <c:f>'Old_2016 Data Manufacturing'!$C$88:$C$89</c:f>
              <c:numCache>
                <c:formatCode>0.0%</c:formatCode>
                <c:ptCount val="2"/>
                <c:pt idx="0">
                  <c:v>3.4309544400365599E-2</c:v>
                </c:pt>
                <c:pt idx="1">
                  <c:v>3.1228913471156305E-2</c:v>
                </c:pt>
              </c:numCache>
            </c:numRef>
          </c:val>
          <c:extLst>
            <c:ext xmlns:c16="http://schemas.microsoft.com/office/drawing/2014/chart" uri="{C3380CC4-5D6E-409C-BE32-E72D297353CC}">
              <c16:uniqueId val="{00000001-8875-4572-BE41-F73758290292}"/>
            </c:ext>
          </c:extLst>
        </c:ser>
        <c:dLbls>
          <c:dLblPos val="outEnd"/>
          <c:showLegendKey val="0"/>
          <c:showVal val="1"/>
          <c:showCatName val="0"/>
          <c:showSerName val="0"/>
          <c:showPercent val="0"/>
          <c:showBubbleSize val="0"/>
        </c:dLbls>
        <c:gapWidth val="99"/>
        <c:overlap val="-34"/>
        <c:axId val="513763280"/>
        <c:axId val="513760656"/>
      </c:barChart>
      <c:catAx>
        <c:axId val="5137632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3760656"/>
        <c:crosses val="autoZero"/>
        <c:auto val="1"/>
        <c:lblAlgn val="ctr"/>
        <c:lblOffset val="900"/>
        <c:noMultiLvlLbl val="0"/>
      </c:catAx>
      <c:valAx>
        <c:axId val="5137606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3763280"/>
        <c:crosses val="autoZero"/>
        <c:crossBetween val="between"/>
      </c:valAx>
      <c:spPr>
        <a:noFill/>
        <a:ln w="6350">
          <a:solidFill>
            <a:schemeClr val="tx1">
              <a:lumMod val="15000"/>
              <a:lumOff val="85000"/>
            </a:schemeClr>
          </a:solidFill>
        </a:ln>
        <a:effectLst/>
      </c:spPr>
    </c:plotArea>
    <c:legend>
      <c:legendPos val="b"/>
      <c:layout>
        <c:manualLayout>
          <c:xMode val="edge"/>
          <c:yMode val="edge"/>
          <c:x val="0.39742030302158343"/>
          <c:y val="0.86345750598326865"/>
          <c:w val="0.20515922762778688"/>
          <c:h val="0.11911416516017595"/>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50" b="1"/>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manufacturing exports to EU and non-EU countries: 1998–2016</a:t>
            </a:r>
          </a:p>
        </c:rich>
      </c:tx>
      <c:layout>
        <c:manualLayout>
          <c:xMode val="edge"/>
          <c:yMode val="edge"/>
          <c:x val="0.23423849099072511"/>
          <c:y val="4.2598327107397596E-2"/>
        </c:manualLayout>
      </c:layout>
      <c:overlay val="0"/>
      <c:spPr>
        <a:noFill/>
        <a:ln>
          <a:noFill/>
        </a:ln>
        <a:effectLst/>
      </c:spPr>
      <c:txPr>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6.317395312892686E-2"/>
          <c:y val="0.19445371861938252"/>
          <c:w val="0.92469012348671242"/>
          <c:h val="0.56771000791655468"/>
        </c:manualLayout>
      </c:layout>
      <c:barChart>
        <c:barDir val="col"/>
        <c:grouping val="clustered"/>
        <c:varyColors val="0"/>
        <c:ser>
          <c:idx val="0"/>
          <c:order val="0"/>
          <c:tx>
            <c:strRef>
              <c:f>'Old_2016 Data Manufacturing'!$A$124</c:f>
              <c:strCache>
                <c:ptCount val="1"/>
                <c:pt idx="0">
                  <c:v>Manufacturing exports to EU (£ billion)</c:v>
                </c:pt>
              </c:strCache>
            </c:strRef>
          </c:tx>
          <c:spPr>
            <a:solidFill>
              <a:srgbClr val="C00000"/>
            </a:solidFill>
            <a:ln>
              <a:solidFill>
                <a:srgbClr val="990000"/>
              </a:solidFill>
            </a:ln>
            <a:effectLst/>
          </c:spPr>
          <c:invertIfNegative val="0"/>
          <c:cat>
            <c:strRef>
              <c:f>'Old_2016 Data Manufacturing'!$B$123:$T$123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Manufacturing'!$B$124:$T$124</c:f>
              <c:numCache>
                <c:formatCode>0.00</c:formatCode>
                <c:ptCount val="19"/>
                <c:pt idx="0">
                  <c:v>116.90102827763495</c:v>
                </c:pt>
                <c:pt idx="1">
                  <c:v>118.13717948717949</c:v>
                </c:pt>
                <c:pt idx="2">
                  <c:v>126.11979823455235</c:v>
                </c:pt>
                <c:pt idx="3">
                  <c:v>126.99374217772215</c:v>
                </c:pt>
                <c:pt idx="4">
                  <c:v>129.71428571428572</c:v>
                </c:pt>
                <c:pt idx="5">
                  <c:v>122.16584158415841</c:v>
                </c:pt>
                <c:pt idx="6">
                  <c:v>123.19378881987578</c:v>
                </c:pt>
                <c:pt idx="7">
                  <c:v>130.52242424242425</c:v>
                </c:pt>
                <c:pt idx="8">
                  <c:v>159.84844868735084</c:v>
                </c:pt>
                <c:pt idx="9">
                  <c:v>133.76442307692307</c:v>
                </c:pt>
                <c:pt idx="10">
                  <c:v>132.21052631578945</c:v>
                </c:pt>
                <c:pt idx="11">
                  <c:v>114.23442449841605</c:v>
                </c:pt>
                <c:pt idx="12">
                  <c:v>121.56670010030091</c:v>
                </c:pt>
                <c:pt idx="13">
                  <c:v>131.09609895337775</c:v>
                </c:pt>
                <c:pt idx="14">
                  <c:v>117.86799620132953</c:v>
                </c:pt>
                <c:pt idx="15">
                  <c:v>116.57894736842105</c:v>
                </c:pt>
                <c:pt idx="16">
                  <c:v>121.57341120607789</c:v>
                </c:pt>
                <c:pt idx="17">
                  <c:v>122.30792799999999</c:v>
                </c:pt>
                <c:pt idx="18">
                  <c:v>124.13877194656487</c:v>
                </c:pt>
              </c:numCache>
            </c:numRef>
          </c:val>
          <c:extLst>
            <c:ext xmlns:c16="http://schemas.microsoft.com/office/drawing/2014/chart" uri="{C3380CC4-5D6E-409C-BE32-E72D297353CC}">
              <c16:uniqueId val="{00000000-8F89-4E90-810E-533963A4D992}"/>
            </c:ext>
          </c:extLst>
        </c:ser>
        <c:ser>
          <c:idx val="1"/>
          <c:order val="1"/>
          <c:tx>
            <c:strRef>
              <c:f>'Old_2016 Data Manufacturing'!$A$125</c:f>
              <c:strCache>
                <c:ptCount val="1"/>
                <c:pt idx="0">
                  <c:v>Manufacturing exports to non-EU (£ billion)</c:v>
                </c:pt>
              </c:strCache>
            </c:strRef>
          </c:tx>
          <c:spPr>
            <a:solidFill>
              <a:srgbClr val="001C54"/>
            </a:solidFill>
            <a:ln>
              <a:noFill/>
            </a:ln>
            <a:effectLst/>
          </c:spPr>
          <c:invertIfNegative val="0"/>
          <c:cat>
            <c:strRef>
              <c:f>'Old_2016 Data Manufacturing'!$B$123:$T$123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Manufacturing'!$B$125:$T$125</c:f>
              <c:numCache>
                <c:formatCode>0.00</c:formatCode>
                <c:ptCount val="19"/>
                <c:pt idx="0">
                  <c:v>75.580976863753207</c:v>
                </c:pt>
                <c:pt idx="1">
                  <c:v>73.629487179487171</c:v>
                </c:pt>
                <c:pt idx="2">
                  <c:v>81.087011349306451</c:v>
                </c:pt>
                <c:pt idx="3">
                  <c:v>80.501877346683344</c:v>
                </c:pt>
                <c:pt idx="4">
                  <c:v>76.328697850821754</c:v>
                </c:pt>
                <c:pt idx="5">
                  <c:v>81.076732673267344</c:v>
                </c:pt>
                <c:pt idx="6">
                  <c:v>84.27080745341614</c:v>
                </c:pt>
                <c:pt idx="7">
                  <c:v>93.002424242424254</c:v>
                </c:pt>
                <c:pt idx="8">
                  <c:v>95.510739856801905</c:v>
                </c:pt>
                <c:pt idx="9">
                  <c:v>97.984374999999986</c:v>
                </c:pt>
                <c:pt idx="10">
                  <c:v>106.75328947368421</c:v>
                </c:pt>
                <c:pt idx="11">
                  <c:v>97.230200633579713</c:v>
                </c:pt>
                <c:pt idx="12">
                  <c:v>111.13841524573722</c:v>
                </c:pt>
                <c:pt idx="13">
                  <c:v>121.45195052331114</c:v>
                </c:pt>
                <c:pt idx="14">
                  <c:v>127.23456790123458</c:v>
                </c:pt>
                <c:pt idx="15">
                  <c:v>125.05355493998152</c:v>
                </c:pt>
                <c:pt idx="16">
                  <c:v>124.51057739791072</c:v>
                </c:pt>
                <c:pt idx="17">
                  <c:v>136.01828799999998</c:v>
                </c:pt>
                <c:pt idx="18">
                  <c:v>134.56264122137404</c:v>
                </c:pt>
              </c:numCache>
            </c:numRef>
          </c:val>
          <c:extLst>
            <c:ext xmlns:c16="http://schemas.microsoft.com/office/drawing/2014/chart" uri="{C3380CC4-5D6E-409C-BE32-E72D297353CC}">
              <c16:uniqueId val="{00000001-8F89-4E90-810E-533963A4D992}"/>
            </c:ext>
          </c:extLst>
        </c:ser>
        <c:dLbls>
          <c:showLegendKey val="0"/>
          <c:showVal val="0"/>
          <c:showCatName val="0"/>
          <c:showSerName val="0"/>
          <c:showPercent val="0"/>
          <c:showBubbleSize val="0"/>
        </c:dLbls>
        <c:gapWidth val="219"/>
        <c:overlap val="-27"/>
        <c:axId val="579647848"/>
        <c:axId val="579655064"/>
      </c:barChart>
      <c:catAx>
        <c:axId val="579647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79655064"/>
        <c:crosses val="autoZero"/>
        <c:auto val="1"/>
        <c:lblAlgn val="ctr"/>
        <c:lblOffset val="100"/>
        <c:noMultiLvlLbl val="0"/>
      </c:catAx>
      <c:valAx>
        <c:axId val="579655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latin typeface="Calibri" panose="020F0502020204030204" pitchFamily="34" charset="0"/>
                    <a:cs typeface="Calibri" panose="020F0502020204030204" pitchFamily="34" charset="0"/>
                  </a:rPr>
                  <a:t>£ </a:t>
                </a:r>
                <a:r>
                  <a:rPr lang="en-AU"/>
                  <a:t>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579647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 EU trade in manufacturing: 1998 – 2016</a:t>
            </a:r>
          </a:p>
        </c:rich>
      </c:tx>
      <c:overlay val="0"/>
      <c:spPr>
        <a:noFill/>
        <a:ln>
          <a:noFill/>
        </a:ln>
        <a:effectLst/>
      </c:spPr>
      <c:txPr>
        <a:bodyPr rot="0" spcFirstLastPara="1" vertOverflow="ellipsis" vert="horz" wrap="square" anchor="ctr" anchorCtr="1"/>
        <a:lstStyle/>
        <a:p>
          <a:pPr algn="ctr" rtl="0">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6.6970797119218217E-2"/>
          <c:y val="0.16710784313725494"/>
          <c:w val="0.90205124315677698"/>
          <c:h val="0.65213177396943034"/>
        </c:manualLayout>
      </c:layout>
      <c:barChart>
        <c:barDir val="col"/>
        <c:grouping val="clustered"/>
        <c:varyColors val="0"/>
        <c:ser>
          <c:idx val="0"/>
          <c:order val="0"/>
          <c:tx>
            <c:strRef>
              <c:f>'Old_2016 Data Manufacturing'!$A$146</c:f>
              <c:strCache>
                <c:ptCount val="1"/>
                <c:pt idx="0">
                  <c:v>EU Exports (£ billion)</c:v>
                </c:pt>
              </c:strCache>
            </c:strRef>
          </c:tx>
          <c:spPr>
            <a:solidFill>
              <a:srgbClr val="C00000"/>
            </a:solidFill>
            <a:ln>
              <a:solidFill>
                <a:srgbClr val="990000"/>
              </a:solidFill>
            </a:ln>
            <a:effectLst/>
          </c:spPr>
          <c:invertIfNegative val="0"/>
          <c:cat>
            <c:strRef>
              <c:f>'Old_2016 Data Manufacturing'!$B$145:$T$145</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Manufacturing'!$B$146:$T$146</c:f>
              <c:numCache>
                <c:formatCode>0.00</c:formatCode>
                <c:ptCount val="19"/>
                <c:pt idx="0">
                  <c:v>116.90102827763495</c:v>
                </c:pt>
                <c:pt idx="1">
                  <c:v>118.13717948717949</c:v>
                </c:pt>
                <c:pt idx="2">
                  <c:v>126.11979823455235</c:v>
                </c:pt>
                <c:pt idx="3">
                  <c:v>126.99374217772215</c:v>
                </c:pt>
                <c:pt idx="4">
                  <c:v>129.71428571428572</c:v>
                </c:pt>
                <c:pt idx="5">
                  <c:v>122.16584158415841</c:v>
                </c:pt>
                <c:pt idx="6">
                  <c:v>123.19378881987578</c:v>
                </c:pt>
                <c:pt idx="7">
                  <c:v>130.52242424242425</c:v>
                </c:pt>
                <c:pt idx="8">
                  <c:v>159.84844868735084</c:v>
                </c:pt>
                <c:pt idx="9">
                  <c:v>133.76442307692307</c:v>
                </c:pt>
                <c:pt idx="10">
                  <c:v>132.21052631578945</c:v>
                </c:pt>
                <c:pt idx="11">
                  <c:v>114.23442449841605</c:v>
                </c:pt>
                <c:pt idx="12">
                  <c:v>121.56670010030091</c:v>
                </c:pt>
                <c:pt idx="13">
                  <c:v>131.09609895337775</c:v>
                </c:pt>
                <c:pt idx="14">
                  <c:v>117.86799620132953</c:v>
                </c:pt>
                <c:pt idx="15">
                  <c:v>116.57894736842105</c:v>
                </c:pt>
                <c:pt idx="16">
                  <c:v>121.57341120607789</c:v>
                </c:pt>
                <c:pt idx="17">
                  <c:v>122.30792799999999</c:v>
                </c:pt>
                <c:pt idx="18">
                  <c:v>124.13877194656487</c:v>
                </c:pt>
              </c:numCache>
            </c:numRef>
          </c:val>
          <c:extLst>
            <c:ext xmlns:c16="http://schemas.microsoft.com/office/drawing/2014/chart" uri="{C3380CC4-5D6E-409C-BE32-E72D297353CC}">
              <c16:uniqueId val="{00000000-61AE-4785-8BC1-3032EE5E5E96}"/>
            </c:ext>
          </c:extLst>
        </c:ser>
        <c:ser>
          <c:idx val="1"/>
          <c:order val="1"/>
          <c:tx>
            <c:strRef>
              <c:f>'Old_2016 Data Manufacturing'!$A$147</c:f>
              <c:strCache>
                <c:ptCount val="1"/>
                <c:pt idx="0">
                  <c:v>EU Imports (£ billion)</c:v>
                </c:pt>
              </c:strCache>
            </c:strRef>
          </c:tx>
          <c:spPr>
            <a:solidFill>
              <a:srgbClr val="001C54"/>
            </a:solidFill>
            <a:ln>
              <a:noFill/>
            </a:ln>
            <a:effectLst/>
          </c:spPr>
          <c:invertIfNegative val="0"/>
          <c:cat>
            <c:strRef>
              <c:f>'Old_2016 Data Manufacturing'!$B$145:$T$145</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Manufacturing'!$B$147:$T$147</c:f>
              <c:numCache>
                <c:formatCode>0.00</c:formatCode>
                <c:ptCount val="19"/>
                <c:pt idx="0">
                  <c:v>120.51927710843374</c:v>
                </c:pt>
                <c:pt idx="1">
                  <c:v>126.44915254237289</c:v>
                </c:pt>
                <c:pt idx="2">
                  <c:v>132.47225501770956</c:v>
                </c:pt>
                <c:pt idx="3">
                  <c:v>143.77751479289941</c:v>
                </c:pt>
                <c:pt idx="4">
                  <c:v>160.24150485436891</c:v>
                </c:pt>
                <c:pt idx="5">
                  <c:v>161.4855421686747</c:v>
                </c:pt>
                <c:pt idx="6">
                  <c:v>170.12820512820514</c:v>
                </c:pt>
                <c:pt idx="7">
                  <c:v>181.89268867924528</c:v>
                </c:pt>
                <c:pt idx="8">
                  <c:v>204.12933025404158</c:v>
                </c:pt>
                <c:pt idx="9">
                  <c:v>188.5479768786127</c:v>
                </c:pt>
                <c:pt idx="10">
                  <c:v>177.53838280450361</c:v>
                </c:pt>
                <c:pt idx="11">
                  <c:v>156.75298804780877</c:v>
                </c:pt>
                <c:pt idx="12">
                  <c:v>171.74903846153845</c:v>
                </c:pt>
                <c:pt idx="13">
                  <c:v>173.15585585585583</c:v>
                </c:pt>
                <c:pt idx="14">
                  <c:v>178.38056312443234</c:v>
                </c:pt>
                <c:pt idx="15">
                  <c:v>185.20612061206123</c:v>
                </c:pt>
                <c:pt idx="16">
                  <c:v>205.56421825023517</c:v>
                </c:pt>
                <c:pt idx="17">
                  <c:v>214.68205099999997</c:v>
                </c:pt>
                <c:pt idx="18">
                  <c:v>222.88361121856863</c:v>
                </c:pt>
              </c:numCache>
            </c:numRef>
          </c:val>
          <c:extLst>
            <c:ext xmlns:c16="http://schemas.microsoft.com/office/drawing/2014/chart" uri="{C3380CC4-5D6E-409C-BE32-E72D297353CC}">
              <c16:uniqueId val="{00000001-61AE-4785-8BC1-3032EE5E5E96}"/>
            </c:ext>
          </c:extLst>
        </c:ser>
        <c:ser>
          <c:idx val="2"/>
          <c:order val="2"/>
          <c:tx>
            <c:strRef>
              <c:f>'Old_2016 Data Manufacturing'!$A$148</c:f>
              <c:strCache>
                <c:ptCount val="1"/>
                <c:pt idx="0">
                  <c:v>Balance</c:v>
                </c:pt>
              </c:strCache>
            </c:strRef>
          </c:tx>
          <c:spPr>
            <a:solidFill>
              <a:schemeClr val="accent3"/>
            </a:solidFill>
            <a:ln>
              <a:solidFill>
                <a:schemeClr val="tx1">
                  <a:lumMod val="65000"/>
                  <a:lumOff val="35000"/>
                </a:schemeClr>
              </a:solidFill>
            </a:ln>
            <a:effectLst/>
          </c:spPr>
          <c:invertIfNegative val="0"/>
          <c:cat>
            <c:strRef>
              <c:f>'Old_2016 Data Manufacturing'!$B$145:$T$145</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Manufacturing'!$B$148:$T$148</c:f>
              <c:numCache>
                <c:formatCode>0.00</c:formatCode>
                <c:ptCount val="19"/>
                <c:pt idx="0">
                  <c:v>-3.618248830798791</c:v>
                </c:pt>
                <c:pt idx="1">
                  <c:v>-8.3119730551933912</c:v>
                </c:pt>
                <c:pt idx="2">
                  <c:v>-6.3524567831572085</c:v>
                </c:pt>
                <c:pt idx="3">
                  <c:v>-16.783772615177256</c:v>
                </c:pt>
                <c:pt idx="4">
                  <c:v>-30.52721914008319</c:v>
                </c:pt>
                <c:pt idx="5">
                  <c:v>-39.319700584516283</c:v>
                </c:pt>
                <c:pt idx="6">
                  <c:v>-46.934416308329361</c:v>
                </c:pt>
                <c:pt idx="7">
                  <c:v>-51.370264436821031</c:v>
                </c:pt>
                <c:pt idx="8">
                  <c:v>-44.280881566690738</c:v>
                </c:pt>
                <c:pt idx="9">
                  <c:v>-54.783553801689635</c:v>
                </c:pt>
                <c:pt idx="10">
                  <c:v>-45.327856488714161</c:v>
                </c:pt>
                <c:pt idx="11">
                  <c:v>-42.518563549392724</c:v>
                </c:pt>
                <c:pt idx="12">
                  <c:v>-50.182338361237541</c:v>
                </c:pt>
                <c:pt idx="13">
                  <c:v>-42.059756902478085</c:v>
                </c:pt>
                <c:pt idx="14">
                  <c:v>-60.51256692310281</c:v>
                </c:pt>
                <c:pt idx="15">
                  <c:v>-68.627173243640172</c:v>
                </c:pt>
                <c:pt idx="16">
                  <c:v>-83.990807044157279</c:v>
                </c:pt>
                <c:pt idx="17">
                  <c:v>-92.374122999999983</c:v>
                </c:pt>
                <c:pt idx="18">
                  <c:v>-98.744839272003759</c:v>
                </c:pt>
              </c:numCache>
            </c:numRef>
          </c:val>
          <c:extLst>
            <c:ext xmlns:c16="http://schemas.microsoft.com/office/drawing/2014/chart" uri="{C3380CC4-5D6E-409C-BE32-E72D297353CC}">
              <c16:uniqueId val="{00000002-61AE-4785-8BC1-3032EE5E5E96}"/>
            </c:ext>
          </c:extLst>
        </c:ser>
        <c:dLbls>
          <c:showLegendKey val="0"/>
          <c:showVal val="0"/>
          <c:showCatName val="0"/>
          <c:showSerName val="0"/>
          <c:showPercent val="0"/>
          <c:showBubbleSize val="0"/>
        </c:dLbls>
        <c:gapWidth val="219"/>
        <c:overlap val="-29"/>
        <c:axId val="581832112"/>
        <c:axId val="581827848"/>
      </c:barChart>
      <c:catAx>
        <c:axId val="58183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b" anchorCtr="0"/>
          <a:lstStyle/>
          <a:p>
            <a:pPr>
              <a:defRPr sz="1050" b="1" i="0" u="none" strike="noStrike" kern="1200" baseline="0">
                <a:solidFill>
                  <a:schemeClr val="tx1">
                    <a:lumMod val="75000"/>
                    <a:lumOff val="25000"/>
                  </a:schemeClr>
                </a:solidFill>
                <a:latin typeface="+mn-lt"/>
                <a:ea typeface="+mn-ea"/>
                <a:cs typeface="+mn-cs"/>
              </a:defRPr>
            </a:pPr>
            <a:endParaRPr lang="en-US"/>
          </a:p>
        </c:txPr>
        <c:crossAx val="581827848"/>
        <c:crosses val="autoZero"/>
        <c:auto val="0"/>
        <c:lblAlgn val="ctr"/>
        <c:lblOffset val="1000"/>
        <c:noMultiLvlLbl val="0"/>
      </c:catAx>
      <c:valAx>
        <c:axId val="581827848"/>
        <c:scaling>
          <c:orientation val="minMax"/>
          <c:max val="25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581832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 non-EU trade in manufacturing: 1998 – 2016</a:t>
            </a:r>
          </a:p>
        </c:rich>
      </c:tx>
      <c:overlay val="0"/>
      <c:spPr>
        <a:noFill/>
        <a:ln>
          <a:noFill/>
        </a:ln>
        <a:effectLst/>
      </c:spPr>
      <c:txPr>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'Old_2016 Data Manufacturing'!$A$151</c:f>
              <c:strCache>
                <c:ptCount val="1"/>
                <c:pt idx="0">
                  <c:v>Non-EU Exports (£ billion)</c:v>
                </c:pt>
              </c:strCache>
            </c:strRef>
          </c:tx>
          <c:spPr>
            <a:solidFill>
              <a:srgbClr val="C00000"/>
            </a:solidFill>
            <a:ln>
              <a:solidFill>
                <a:srgbClr val="990000"/>
              </a:solidFill>
            </a:ln>
            <a:effectLst/>
          </c:spPr>
          <c:invertIfNegative val="0"/>
          <c:cat>
            <c:strRef>
              <c:f>'Old_2016 Data Manufacturing'!$B$150:$T$150</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Manufacturing'!$B$151:$T$151</c:f>
              <c:numCache>
                <c:formatCode>0.00</c:formatCode>
                <c:ptCount val="19"/>
                <c:pt idx="0">
                  <c:v>75.580976863753207</c:v>
                </c:pt>
                <c:pt idx="1">
                  <c:v>73.629487179487171</c:v>
                </c:pt>
                <c:pt idx="2">
                  <c:v>81.087011349306451</c:v>
                </c:pt>
                <c:pt idx="3">
                  <c:v>80.501877346683344</c:v>
                </c:pt>
                <c:pt idx="4">
                  <c:v>76.328697850821754</c:v>
                </c:pt>
                <c:pt idx="5">
                  <c:v>81.076732673267344</c:v>
                </c:pt>
                <c:pt idx="6">
                  <c:v>84.27080745341614</c:v>
                </c:pt>
                <c:pt idx="7">
                  <c:v>93.002424242424254</c:v>
                </c:pt>
                <c:pt idx="8">
                  <c:v>95.510739856801905</c:v>
                </c:pt>
                <c:pt idx="9">
                  <c:v>97.984374999999986</c:v>
                </c:pt>
                <c:pt idx="10">
                  <c:v>106.75328947368421</c:v>
                </c:pt>
                <c:pt idx="11">
                  <c:v>97.230200633579713</c:v>
                </c:pt>
                <c:pt idx="12">
                  <c:v>111.13841524573722</c:v>
                </c:pt>
                <c:pt idx="13">
                  <c:v>121.45195052331114</c:v>
                </c:pt>
                <c:pt idx="14">
                  <c:v>127.23456790123458</c:v>
                </c:pt>
                <c:pt idx="15">
                  <c:v>125.05355493998152</c:v>
                </c:pt>
                <c:pt idx="16">
                  <c:v>124.51057739791072</c:v>
                </c:pt>
                <c:pt idx="17">
                  <c:v>136.01828799999998</c:v>
                </c:pt>
                <c:pt idx="18">
                  <c:v>134.56264122137404</c:v>
                </c:pt>
              </c:numCache>
            </c:numRef>
          </c:val>
          <c:extLst>
            <c:ext xmlns:c16="http://schemas.microsoft.com/office/drawing/2014/chart" uri="{C3380CC4-5D6E-409C-BE32-E72D297353CC}">
              <c16:uniqueId val="{00000000-3867-4D92-8E5C-3B9F77984DB6}"/>
            </c:ext>
          </c:extLst>
        </c:ser>
        <c:ser>
          <c:idx val="1"/>
          <c:order val="1"/>
          <c:tx>
            <c:strRef>
              <c:f>'Old_2016 Data Manufacturing'!$A$152</c:f>
              <c:strCache>
                <c:ptCount val="1"/>
                <c:pt idx="0">
                  <c:v>Non-EU Imports (£ billion)</c:v>
                </c:pt>
              </c:strCache>
            </c:strRef>
          </c:tx>
          <c:spPr>
            <a:solidFill>
              <a:srgbClr val="001C54"/>
            </a:solidFill>
            <a:ln>
              <a:noFill/>
            </a:ln>
            <a:effectLst/>
          </c:spPr>
          <c:invertIfNegative val="0"/>
          <c:cat>
            <c:strRef>
              <c:f>'Old_2016 Data Manufacturing'!$B$150:$T$150</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Manufacturing'!$B$152:$T$152</c:f>
              <c:numCache>
                <c:formatCode>0.00</c:formatCode>
                <c:ptCount val="19"/>
                <c:pt idx="0">
                  <c:v>84.191566265060246</c:v>
                </c:pt>
                <c:pt idx="1">
                  <c:v>89.791767554479435</c:v>
                </c:pt>
                <c:pt idx="2">
                  <c:v>103.26918536009445</c:v>
                </c:pt>
                <c:pt idx="3">
                  <c:v>102.96568047337279</c:v>
                </c:pt>
                <c:pt idx="4">
                  <c:v>99.889563106796103</c:v>
                </c:pt>
                <c:pt idx="5">
                  <c:v>100.23253012048193</c:v>
                </c:pt>
                <c:pt idx="6">
                  <c:v>106.93162393162392</c:v>
                </c:pt>
                <c:pt idx="7">
                  <c:v>111.73349056603774</c:v>
                </c:pt>
                <c:pt idx="8">
                  <c:v>124.63163972286374</c:v>
                </c:pt>
                <c:pt idx="9">
                  <c:v>128.42312138728323</c:v>
                </c:pt>
                <c:pt idx="10">
                  <c:v>125.55987717502559</c:v>
                </c:pt>
                <c:pt idx="11">
                  <c:v>117.12450199203188</c:v>
                </c:pt>
                <c:pt idx="12">
                  <c:v>132.62019230769232</c:v>
                </c:pt>
                <c:pt idx="13">
                  <c:v>128.25765765765766</c:v>
                </c:pt>
                <c:pt idx="14">
                  <c:v>132.76748410535876</c:v>
                </c:pt>
                <c:pt idx="15">
                  <c:v>136.8748874887489</c:v>
                </c:pt>
                <c:pt idx="16">
                  <c:v>140.56134524929445</c:v>
                </c:pt>
                <c:pt idx="17">
                  <c:v>151.21620000000001</c:v>
                </c:pt>
                <c:pt idx="18">
                  <c:v>161.70105802707928</c:v>
                </c:pt>
              </c:numCache>
            </c:numRef>
          </c:val>
          <c:extLst>
            <c:ext xmlns:c16="http://schemas.microsoft.com/office/drawing/2014/chart" uri="{C3380CC4-5D6E-409C-BE32-E72D297353CC}">
              <c16:uniqueId val="{00000001-3867-4D92-8E5C-3B9F77984DB6}"/>
            </c:ext>
          </c:extLst>
        </c:ser>
        <c:ser>
          <c:idx val="2"/>
          <c:order val="2"/>
          <c:tx>
            <c:strRef>
              <c:f>'Old_2016 Data Manufacturing'!$A$153</c:f>
              <c:strCache>
                <c:ptCount val="1"/>
                <c:pt idx="0">
                  <c:v>Balance</c:v>
                </c:pt>
              </c:strCache>
            </c:strRef>
          </c:tx>
          <c:spPr>
            <a:solidFill>
              <a:schemeClr val="accent3"/>
            </a:solidFill>
            <a:ln>
              <a:solidFill>
                <a:schemeClr val="tx1">
                  <a:lumMod val="65000"/>
                  <a:lumOff val="35000"/>
                </a:schemeClr>
              </a:solidFill>
            </a:ln>
            <a:effectLst/>
          </c:spPr>
          <c:invertIfNegative val="0"/>
          <c:cat>
            <c:strRef>
              <c:f>'Old_2016 Data Manufacturing'!$B$150:$T$150</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Manufacturing'!$B$153:$T$153</c:f>
              <c:numCache>
                <c:formatCode>0.00</c:formatCode>
                <c:ptCount val="19"/>
                <c:pt idx="0">
                  <c:v>-8.6105894013070383</c:v>
                </c:pt>
                <c:pt idx="1">
                  <c:v>-16.162280374992264</c:v>
                </c:pt>
                <c:pt idx="2">
                  <c:v>-22.182174010788003</c:v>
                </c:pt>
                <c:pt idx="3">
                  <c:v>-22.463803126689442</c:v>
                </c:pt>
                <c:pt idx="4">
                  <c:v>-23.560865255974349</c:v>
                </c:pt>
                <c:pt idx="5">
                  <c:v>-19.155797447214582</c:v>
                </c:pt>
                <c:pt idx="6">
                  <c:v>-22.660816478207778</c:v>
                </c:pt>
                <c:pt idx="7">
                  <c:v>-18.73106632361349</c:v>
                </c:pt>
                <c:pt idx="8">
                  <c:v>-29.120899866061833</c:v>
                </c:pt>
                <c:pt idx="9">
                  <c:v>-30.438746387283246</c:v>
                </c:pt>
                <c:pt idx="10">
                  <c:v>-18.806587701341385</c:v>
                </c:pt>
                <c:pt idx="11">
                  <c:v>-19.894301358452168</c:v>
                </c:pt>
                <c:pt idx="12">
                  <c:v>-21.4817770619551</c:v>
                </c:pt>
                <c:pt idx="13">
                  <c:v>-6.8057071343465196</c:v>
                </c:pt>
                <c:pt idx="14">
                  <c:v>-5.5329162041241773</c:v>
                </c:pt>
                <c:pt idx="15">
                  <c:v>-11.821332548767373</c:v>
                </c:pt>
                <c:pt idx="16">
                  <c:v>-16.050767851383725</c:v>
                </c:pt>
                <c:pt idx="17">
                  <c:v>-15.197912000000031</c:v>
                </c:pt>
                <c:pt idx="18">
                  <c:v>-27.138416805705248</c:v>
                </c:pt>
              </c:numCache>
            </c:numRef>
          </c:val>
          <c:extLst>
            <c:ext xmlns:c16="http://schemas.microsoft.com/office/drawing/2014/chart" uri="{C3380CC4-5D6E-409C-BE32-E72D297353CC}">
              <c16:uniqueId val="{00000002-3867-4D92-8E5C-3B9F77984DB6}"/>
            </c:ext>
          </c:extLst>
        </c:ser>
        <c:dLbls>
          <c:showLegendKey val="0"/>
          <c:showVal val="0"/>
          <c:showCatName val="0"/>
          <c:showSerName val="0"/>
          <c:showPercent val="0"/>
          <c:showBubbleSize val="0"/>
        </c:dLbls>
        <c:gapWidth val="219"/>
        <c:overlap val="-27"/>
        <c:axId val="580591456"/>
        <c:axId val="580591784"/>
      </c:barChart>
      <c:catAx>
        <c:axId val="58059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80591784"/>
        <c:crosses val="autoZero"/>
        <c:auto val="1"/>
        <c:lblAlgn val="ctr"/>
        <c:lblOffset val="500"/>
        <c:noMultiLvlLbl val="0"/>
      </c:catAx>
      <c:valAx>
        <c:axId val="580591784"/>
        <c:scaling>
          <c:orientation val="minMax"/>
          <c:max val="18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580591456"/>
        <c:crosses val="autoZero"/>
        <c:crossBetween val="between"/>
        <c:majorUnit val="50"/>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r>
              <a:rPr lang="en-AU" sz="1260" b="1" i="0" u="none" strike="noStrike" kern="1200" spc="0" baseline="0">
                <a:solidFill>
                  <a:sysClr val="windowText" lastClr="000000">
                    <a:lumMod val="65000"/>
                    <a:lumOff val="35000"/>
                  </a:sysClr>
                </a:solidFill>
                <a:latin typeface="+mn-lt"/>
                <a:ea typeface="+mn-ea"/>
                <a:cs typeface="+mn-cs"/>
              </a:rPr>
              <a:t>Growth in manufacturing exports to EU / non-EU countries (real prices) : 1998 </a:t>
            </a:r>
            <a:r>
              <a:rPr lang="en-AU" sz="1260" b="1" i="0" u="none" strike="noStrike" kern="1200" spc="0" baseline="0">
                <a:solidFill>
                  <a:sysClr val="windowText" lastClr="000000">
                    <a:lumMod val="65000"/>
                    <a:lumOff val="35000"/>
                  </a:sysClr>
                </a:solidFill>
                <a:latin typeface="Calibri" panose="020F0502020204030204" pitchFamily="34" charset="0"/>
                <a:ea typeface="+mn-ea"/>
                <a:cs typeface="Calibri" panose="020F0502020204030204" pitchFamily="34" charset="0"/>
              </a:rPr>
              <a:t>– 2016</a:t>
            </a:r>
            <a:endParaRPr lang="en-AU" sz="1260" b="1" i="0" u="none" strike="noStrike" kern="1200" spc="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13701422349976264"/>
          <c:y val="0.18469198489040617"/>
          <c:w val="0.8352266935474737"/>
          <c:h val="0.62908319519845202"/>
        </c:manualLayout>
      </c:layout>
      <c:barChart>
        <c:barDir val="col"/>
        <c:grouping val="clustered"/>
        <c:varyColors val="0"/>
        <c:ser>
          <c:idx val="0"/>
          <c:order val="0"/>
          <c:tx>
            <c:strRef>
              <c:f>'Old_2016 Data Manufacturing'!$A$72</c:f>
              <c:strCache>
                <c:ptCount val="1"/>
                <c:pt idx="0">
                  <c:v>EU</c:v>
                </c:pt>
              </c:strCache>
            </c:strRef>
          </c:tx>
          <c:spPr>
            <a:solidFill>
              <a:srgbClr val="C00000"/>
            </a:solidFill>
            <a:ln>
              <a:solidFill>
                <a:srgbClr val="990000"/>
              </a:solidFill>
            </a:ln>
            <a:effectLst/>
          </c:spPr>
          <c:invertIfNegative val="0"/>
          <c:dLbls>
            <c:numFmt formatCode="[$£-809]#,##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Manufacturing'!$B$71:$C$71</c:f>
              <c:strCache>
                <c:ptCount val="2"/>
                <c:pt idx="0">
                  <c:v>Average Exports 1998-2000 (£bn)</c:v>
                </c:pt>
                <c:pt idx="1">
                  <c:v>Average Exports 2014-2016 (£bn)</c:v>
                </c:pt>
              </c:strCache>
            </c:strRef>
          </c:cat>
          <c:val>
            <c:numRef>
              <c:f>'Old_2016 Data Manufacturing'!$B$72:$C$72</c:f>
              <c:numCache>
                <c:formatCode>0.0</c:formatCode>
                <c:ptCount val="2"/>
                <c:pt idx="0">
                  <c:v>120.38600199978892</c:v>
                </c:pt>
                <c:pt idx="1">
                  <c:v>122.67337038421425</c:v>
                </c:pt>
              </c:numCache>
            </c:numRef>
          </c:val>
          <c:extLst>
            <c:ext xmlns:c16="http://schemas.microsoft.com/office/drawing/2014/chart" uri="{C3380CC4-5D6E-409C-BE32-E72D297353CC}">
              <c16:uniqueId val="{00000004-CF26-409A-B063-EE3D26D2F02D}"/>
            </c:ext>
          </c:extLst>
        </c:ser>
        <c:ser>
          <c:idx val="1"/>
          <c:order val="1"/>
          <c:tx>
            <c:strRef>
              <c:f>'Old_2016 Data Manufacturing'!$A$73</c:f>
              <c:strCache>
                <c:ptCount val="1"/>
                <c:pt idx="0">
                  <c:v>Non-EU</c:v>
                </c:pt>
              </c:strCache>
            </c:strRef>
          </c:tx>
          <c:spPr>
            <a:solidFill>
              <a:srgbClr val="001C54"/>
            </a:solidFill>
            <a:ln>
              <a:solidFill>
                <a:sysClr val="windowText" lastClr="000000"/>
              </a:solidFill>
            </a:ln>
            <a:effectLst/>
          </c:spPr>
          <c:invertIfNegative val="0"/>
          <c:dLbls>
            <c:numFmt formatCode="_-[$£-809]* #,##0.0_-;\-[$£-809]* #,##0.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Manufacturing'!$B$71:$C$71</c:f>
              <c:strCache>
                <c:ptCount val="2"/>
                <c:pt idx="0">
                  <c:v>Average Exports 1998-2000 (£bn)</c:v>
                </c:pt>
                <c:pt idx="1">
                  <c:v>Average Exports 2014-2016 (£bn)</c:v>
                </c:pt>
              </c:strCache>
            </c:strRef>
          </c:cat>
          <c:val>
            <c:numRef>
              <c:f>'Old_2016 Data Manufacturing'!$B$73:$C$73</c:f>
              <c:numCache>
                <c:formatCode>0.0</c:formatCode>
                <c:ptCount val="2"/>
                <c:pt idx="0">
                  <c:v>76.765825130848953</c:v>
                </c:pt>
                <c:pt idx="1">
                  <c:v>131.69716887309491</c:v>
                </c:pt>
              </c:numCache>
            </c:numRef>
          </c:val>
          <c:extLst>
            <c:ext xmlns:c16="http://schemas.microsoft.com/office/drawing/2014/chart" uri="{C3380CC4-5D6E-409C-BE32-E72D297353CC}">
              <c16:uniqueId val="{00000005-CF26-409A-B063-EE3D26D2F02D}"/>
            </c:ext>
          </c:extLst>
        </c:ser>
        <c:dLbls>
          <c:dLblPos val="inEnd"/>
          <c:showLegendKey val="0"/>
          <c:showVal val="1"/>
          <c:showCatName val="0"/>
          <c:showSerName val="0"/>
          <c:showPercent val="0"/>
          <c:showBubbleSize val="0"/>
        </c:dLbls>
        <c:gapWidth val="138"/>
        <c:overlap val="-27"/>
        <c:axId val="576780144"/>
        <c:axId val="576773256"/>
      </c:barChart>
      <c:catAx>
        <c:axId val="57678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76773256"/>
        <c:crosses val="autoZero"/>
        <c:auto val="1"/>
        <c:lblAlgn val="ctr"/>
        <c:lblOffset val="100"/>
        <c:noMultiLvlLbl val="0"/>
      </c:catAx>
      <c:valAx>
        <c:axId val="576773256"/>
        <c:scaling>
          <c:orientation val="minMax"/>
          <c:max val="1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780144"/>
        <c:crosses val="autoZero"/>
        <c:crossBetween val="between"/>
      </c:valAx>
      <c:spPr>
        <a:noFill/>
        <a:ln>
          <a:noFill/>
        </a:ln>
        <a:effectLst/>
      </c:spPr>
    </c:plotArea>
    <c:legend>
      <c:legendPos val="b"/>
      <c:layout>
        <c:manualLayout>
          <c:xMode val="edge"/>
          <c:yMode val="edge"/>
          <c:x val="0.1202456392303575"/>
          <c:y val="0.89870232897718205"/>
          <c:w val="0.84549606880765782"/>
          <c:h val="9.1506545791242414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cap="none" spc="50" baseline="0">
                <a:solidFill>
                  <a:sysClr val="windowText" lastClr="000000">
                    <a:lumMod val="65000"/>
                    <a:lumOff val="35000"/>
                  </a:sysClr>
                </a:solidFill>
                <a:latin typeface="+mn-lt"/>
                <a:ea typeface="+mn-ea"/>
                <a:cs typeface="+mn-cs"/>
              </a:defRPr>
            </a:pPr>
            <a:r>
              <a:rPr lang="en-AU" cap="none" baseline="0"/>
              <a:t>UK manufacturing exports: 2016</a:t>
            </a:r>
          </a:p>
          <a:p>
            <a:pPr marL="0" marR="0" lvl="0" indent="0" algn="ctr" defTabSz="914400" rtl="0" eaLnBrk="1" fontAlgn="auto" latinLnBrk="0" hangingPunct="1">
              <a:lnSpc>
                <a:spcPct val="100000"/>
              </a:lnSpc>
              <a:spcBef>
                <a:spcPts val="0"/>
              </a:spcBef>
              <a:spcAft>
                <a:spcPts val="0"/>
              </a:spcAft>
              <a:buClrTx/>
              <a:buSzTx/>
              <a:buFontTx/>
              <a:buNone/>
              <a:tabLst/>
              <a:defRPr cap="none">
                <a:solidFill>
                  <a:sysClr val="windowText" lastClr="000000">
                    <a:lumMod val="65000"/>
                    <a:lumOff val="35000"/>
                  </a:sysClr>
                </a:solidFill>
              </a:defRPr>
            </a:pPr>
            <a:r>
              <a:rPr lang="en-AU" sz="1200" b="1" i="0" baseline="0">
                <a:effectLst/>
              </a:rPr>
              <a:t>Total: £270.5 bn</a:t>
            </a:r>
            <a:endParaRPr lang="en-AU"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cap="none" spc="5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8.6165927920092936E-2"/>
          <c:y val="0.1478242639269752"/>
          <c:w val="0.41375779256736367"/>
          <c:h val="0.75069483979219453"/>
        </c:manualLayout>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AFE8-4636-8DED-128A530F269E}"/>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AFE8-4636-8DED-128A530F269E}"/>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AFE8-4636-8DED-128A530F269E}"/>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AFE8-4636-8DED-128A530F269E}"/>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AFE8-4636-8DED-128A530F269E}"/>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AFE8-4636-8DED-128A530F269E}"/>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AFE8-4636-8DED-128A530F269E}"/>
              </c:ext>
            </c:extLst>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F-AFE8-4636-8DED-128A530F269E}"/>
              </c:ext>
            </c:extLst>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1-AFE8-4636-8DED-128A530F269E}"/>
              </c:ext>
            </c:extLst>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3-AFE8-4636-8DED-128A530F269E}"/>
              </c:ext>
            </c:extLst>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5-76F7-4BFD-8F57-1491F44C3CA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'Old_2016 Data Manufacturing'!$A$48:$A$58</c:f>
              <c:strCache>
                <c:ptCount val="11"/>
                <c:pt idx="0">
                  <c:v>1. Motor vehicles </c:v>
                </c:pt>
                <c:pt idx="1">
                  <c:v>2. Transport</c:v>
                </c:pt>
                <c:pt idx="2">
                  <c:v>3. Machinery</c:v>
                </c:pt>
                <c:pt idx="3">
                  <c:v>4. Pharmaceuticals</c:v>
                </c:pt>
                <c:pt idx="4">
                  <c:v>5. Chemicals </c:v>
                </c:pt>
                <c:pt idx="5">
                  <c:v>6. Computers, electronics, etc.</c:v>
                </c:pt>
                <c:pt idx="6">
                  <c:v>7. Basic metals</c:v>
                </c:pt>
                <c:pt idx="7">
                  <c:v>8. Food products</c:v>
                </c:pt>
                <c:pt idx="8">
                  <c:v>9. Electrical</c:v>
                </c:pt>
                <c:pt idx="9">
                  <c:v>10. Beverages</c:v>
                </c:pt>
                <c:pt idx="10">
                  <c:v>Other manufactured</c:v>
                </c:pt>
              </c:strCache>
            </c:strRef>
          </c:cat>
          <c:val>
            <c:numRef>
              <c:f>'Old_2016 Data Manufacturing'!$B$48:$B$58</c:f>
              <c:numCache>
                <c:formatCode>_-[$£-809]* #,##0.0_-;\-[$£-809]* #,##0.0_-;_-[$£-809]* "-"??_-;_-@_-</c:formatCode>
                <c:ptCount val="11"/>
                <c:pt idx="0">
                  <c:v>40.073</c:v>
                </c:pt>
                <c:pt idx="1">
                  <c:v>32.154000000000003</c:v>
                </c:pt>
                <c:pt idx="2">
                  <c:v>26.885000000000002</c:v>
                </c:pt>
                <c:pt idx="3">
                  <c:v>25.827999999999999</c:v>
                </c:pt>
                <c:pt idx="4">
                  <c:v>24.861000000000001</c:v>
                </c:pt>
                <c:pt idx="5">
                  <c:v>24.710999999999999</c:v>
                </c:pt>
                <c:pt idx="6">
                  <c:v>15.477</c:v>
                </c:pt>
                <c:pt idx="7">
                  <c:v>11.366</c:v>
                </c:pt>
                <c:pt idx="8">
                  <c:v>10.32</c:v>
                </c:pt>
                <c:pt idx="9">
                  <c:v>7.085</c:v>
                </c:pt>
                <c:pt idx="10">
                  <c:v>51.764999999999958</c:v>
                </c:pt>
              </c:numCache>
            </c:numRef>
          </c:val>
          <c:extLst>
            <c:ext xmlns:c16="http://schemas.microsoft.com/office/drawing/2014/chart" uri="{C3380CC4-5D6E-409C-BE32-E72D297353CC}">
              <c16:uniqueId val="{00000016-AFE8-4636-8DED-128A530F269E}"/>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53350774684525148"/>
          <c:y val="0.21966621233124897"/>
          <c:w val="0.44728238152437827"/>
          <c:h val="0.69549263925792049"/>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r>
              <a:rPr lang="en-AU" sz="1260" b="1" i="0" u="none" strike="noStrike" kern="1200" spc="0" baseline="0">
                <a:solidFill>
                  <a:sysClr val="windowText" lastClr="000000">
                    <a:lumMod val="65000"/>
                    <a:lumOff val="35000"/>
                  </a:sysClr>
                </a:solidFill>
                <a:latin typeface="+mn-lt"/>
                <a:ea typeface="+mn-ea"/>
                <a:cs typeface="+mn-cs"/>
              </a:rPr>
              <a:t>Change in EU's share of UK trade in manufactured goods: 1998 – 2016</a:t>
            </a:r>
          </a:p>
        </c:rich>
      </c:tx>
      <c:overlay val="0"/>
      <c:spPr>
        <a:noFill/>
        <a:ln>
          <a:noFill/>
        </a:ln>
        <a:effectLst/>
      </c:spPr>
      <c:txPr>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6.4675227207653743E-2"/>
          <c:y val="8.2697127415065769E-2"/>
          <c:w val="0.90572426490428604"/>
          <c:h val="0.7245952337995466"/>
        </c:manualLayout>
      </c:layout>
      <c:barChart>
        <c:barDir val="col"/>
        <c:grouping val="clustered"/>
        <c:varyColors val="0"/>
        <c:ser>
          <c:idx val="0"/>
          <c:order val="0"/>
          <c:tx>
            <c:strRef>
              <c:f>'Old_2016 Data Manufacturing'!$B$94</c:f>
              <c:strCache>
                <c:ptCount val="1"/>
                <c:pt idx="0">
                  <c:v>1998</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Manufacturing'!$A$95:$A$96</c:f>
              <c:strCache>
                <c:ptCount val="2"/>
                <c:pt idx="0">
                  <c:v>Destination for exports</c:v>
                </c:pt>
                <c:pt idx="1">
                  <c:v>Source of imports</c:v>
                </c:pt>
              </c:strCache>
            </c:strRef>
          </c:cat>
          <c:val>
            <c:numRef>
              <c:f>'Old_2016 Data Manufacturing'!$B$95:$B$96</c:f>
              <c:numCache>
                <c:formatCode>0%</c:formatCode>
                <c:ptCount val="2"/>
                <c:pt idx="0">
                  <c:v>0.6106258498939402</c:v>
                </c:pt>
                <c:pt idx="1">
                  <c:v>0.577805103578102</c:v>
                </c:pt>
              </c:numCache>
            </c:numRef>
          </c:val>
          <c:extLst>
            <c:ext xmlns:c16="http://schemas.microsoft.com/office/drawing/2014/chart" uri="{C3380CC4-5D6E-409C-BE32-E72D297353CC}">
              <c16:uniqueId val="{00000002-FA09-44BA-B7A4-9D2F990FC8F2}"/>
            </c:ext>
          </c:extLst>
        </c:ser>
        <c:ser>
          <c:idx val="1"/>
          <c:order val="1"/>
          <c:tx>
            <c:strRef>
              <c:f>'Old_2016 Data Manufacturing'!$C$94</c:f>
              <c:strCache>
                <c:ptCount val="1"/>
                <c:pt idx="0">
                  <c:v>2016</c:v>
                </c:pt>
              </c:strCache>
            </c:strRef>
          </c:tx>
          <c:spPr>
            <a:solidFill>
              <a:srgbClr val="001C5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Manufacturing'!$A$95:$A$96</c:f>
              <c:strCache>
                <c:ptCount val="2"/>
                <c:pt idx="0">
                  <c:v>Destination for exports</c:v>
                </c:pt>
                <c:pt idx="1">
                  <c:v>Source of imports</c:v>
                </c:pt>
              </c:strCache>
            </c:strRef>
          </c:cat>
          <c:val>
            <c:numRef>
              <c:f>'Old_2016 Data Manufacturing'!$C$95:$C$96</c:f>
              <c:numCache>
                <c:formatCode>0%</c:formatCode>
                <c:ptCount val="2"/>
                <c:pt idx="0">
                  <c:v>0.48226249290655354</c:v>
                </c:pt>
                <c:pt idx="1">
                  <c:v>0.58647173535659969</c:v>
                </c:pt>
              </c:numCache>
            </c:numRef>
          </c:val>
          <c:extLst>
            <c:ext xmlns:c16="http://schemas.microsoft.com/office/drawing/2014/chart" uri="{C3380CC4-5D6E-409C-BE32-E72D297353CC}">
              <c16:uniqueId val="{00000003-FA09-44BA-B7A4-9D2F990FC8F2}"/>
            </c:ext>
          </c:extLst>
        </c:ser>
        <c:dLbls>
          <c:dLblPos val="inEnd"/>
          <c:showLegendKey val="0"/>
          <c:showVal val="1"/>
          <c:showCatName val="0"/>
          <c:showSerName val="0"/>
          <c:showPercent val="0"/>
          <c:showBubbleSize val="0"/>
        </c:dLbls>
        <c:gapWidth val="219"/>
        <c:overlap val="-27"/>
        <c:axId val="607267056"/>
        <c:axId val="607265416"/>
      </c:barChart>
      <c:catAx>
        <c:axId val="607267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crossAx val="607265416"/>
        <c:crosses val="autoZero"/>
        <c:auto val="1"/>
        <c:lblAlgn val="ctr"/>
        <c:lblOffset val="100"/>
        <c:noMultiLvlLbl val="0"/>
      </c:catAx>
      <c:valAx>
        <c:axId val="607265416"/>
        <c:scaling>
          <c:orientation val="minMax"/>
          <c:max val="0.65000000000000013"/>
          <c:min val="0.4"/>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267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UK Export o</a:t>
            </a:r>
            <a:r>
              <a:rPr lang="en-AU" b="1" baseline="0"/>
              <a:t>f manufactured goods</a:t>
            </a:r>
            <a:r>
              <a:rPr lang="en-AU" b="1"/>
              <a:t> to EU &amp;</a:t>
            </a:r>
            <a:r>
              <a:rPr lang="en-AU" b="1" baseline="0"/>
              <a:t> non-EU countries</a:t>
            </a:r>
            <a:r>
              <a:rPr lang="en-AU" b="1"/>
              <a:t>:</a:t>
            </a:r>
            <a:r>
              <a:rPr lang="en-AU" b="1" baseline="0"/>
              <a:t> 2016</a:t>
            </a:r>
            <a:endParaRPr lang="en-AU" b="1"/>
          </a:p>
        </c:rich>
      </c:tx>
      <c:layout>
        <c:manualLayout>
          <c:xMode val="edge"/>
          <c:yMode val="edge"/>
          <c:x val="0.17413353952784566"/>
          <c:y val="4.947546329436092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40443036384538E-2"/>
          <c:y val="0.15316605696950772"/>
          <c:w val="0.85947964673707122"/>
          <c:h val="0.47946665804351463"/>
        </c:manualLayout>
      </c:layout>
      <c:barChart>
        <c:barDir val="bar"/>
        <c:grouping val="stacked"/>
        <c:varyColors val="0"/>
        <c:ser>
          <c:idx val="0"/>
          <c:order val="0"/>
          <c:tx>
            <c:strRef>
              <c:f>'Old_2016 Data Manufacturing'!$A$16</c:f>
              <c:strCache>
                <c:ptCount val="1"/>
                <c:pt idx="0">
                  <c:v>1. Motor vehicles </c:v>
                </c:pt>
              </c:strCache>
            </c:strRef>
          </c:tx>
          <c:spPr>
            <a:solidFill>
              <a:schemeClr val="accent5">
                <a:lumMod val="75000"/>
              </a:schemeClr>
            </a:solidFill>
            <a:ln w="12700">
              <a:solidFill>
                <a:schemeClr val="accent5">
                  <a:lumMod val="50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6885-4F9D-B6E7-7192DD70978F}"/>
                </c:ext>
              </c:extLst>
            </c:dLbl>
            <c:dLbl>
              <c:idx val="1"/>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1-6885-4F9D-B6E7-7192DD70978F}"/>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Manufacturing'!$B$16:$C$16</c:f>
              <c:numCache>
                <c:formatCode>_-[$£-809]* #,##0.0_-;\-[$£-809]* #,##0.0_-;_-[$£-809]* "-"??_-;_-@_-</c:formatCode>
                <c:ptCount val="2"/>
                <c:pt idx="0">
                  <c:v>18.260000000000002</c:v>
                </c:pt>
                <c:pt idx="1">
                  <c:v>21.82</c:v>
                </c:pt>
              </c:numCache>
            </c:numRef>
          </c:val>
          <c:extLst>
            <c:ext xmlns:c16="http://schemas.microsoft.com/office/drawing/2014/chart" uri="{C3380CC4-5D6E-409C-BE32-E72D297353CC}">
              <c16:uniqueId val="{00000000-7906-4A7C-AAB8-6A2B9EAB9C75}"/>
            </c:ext>
          </c:extLst>
        </c:ser>
        <c:ser>
          <c:idx val="1"/>
          <c:order val="1"/>
          <c:tx>
            <c:strRef>
              <c:f>'Old_2016 Data Manufacturing'!$A$17</c:f>
              <c:strCache>
                <c:ptCount val="1"/>
                <c:pt idx="0">
                  <c:v>2. Transport</c:v>
                </c:pt>
              </c:strCache>
            </c:strRef>
          </c:tx>
          <c:spPr>
            <a:solidFill>
              <a:srgbClr val="FF832F"/>
            </a:solidFill>
            <a:ln w="12700">
              <a:solidFill>
                <a:srgbClr val="0C5A06"/>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Manufacturing'!$B$17:$C$17</c:f>
              <c:numCache>
                <c:formatCode>_-[$£-809]* #,##0.0_-;\-[$£-809]* #,##0.0_-;_-[$£-809]* "-"??_-;_-@_-</c:formatCode>
                <c:ptCount val="2"/>
                <c:pt idx="0">
                  <c:v>9.81</c:v>
                </c:pt>
                <c:pt idx="1">
                  <c:v>22.35</c:v>
                </c:pt>
              </c:numCache>
            </c:numRef>
          </c:val>
          <c:extLst>
            <c:ext xmlns:c16="http://schemas.microsoft.com/office/drawing/2014/chart" uri="{C3380CC4-5D6E-409C-BE32-E72D297353CC}">
              <c16:uniqueId val="{00000001-7906-4A7C-AAB8-6A2B9EAB9C75}"/>
            </c:ext>
          </c:extLst>
        </c:ser>
        <c:ser>
          <c:idx val="2"/>
          <c:order val="2"/>
          <c:tx>
            <c:strRef>
              <c:f>'Old_2016 Data Manufacturing'!$A$18</c:f>
              <c:strCache>
                <c:ptCount val="1"/>
                <c:pt idx="0">
                  <c:v>3. Machinery</c:v>
                </c:pt>
              </c:strCache>
            </c:strRef>
          </c:tx>
          <c:spPr>
            <a:solidFill>
              <a:schemeClr val="bg1">
                <a:lumMod val="50000"/>
              </a:schemeClr>
            </a:solidFill>
            <a:ln w="12700">
              <a:solidFill>
                <a:srgbClr val="001C54"/>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Manufacturing'!$B$18:$C$18</c:f>
              <c:numCache>
                <c:formatCode>_-[$£-809]* #,##0.0_-;\-[$£-809]* #,##0.0_-;_-[$£-809]* "-"??_-;_-@_-</c:formatCode>
                <c:ptCount val="2"/>
                <c:pt idx="0">
                  <c:v>11.45</c:v>
                </c:pt>
                <c:pt idx="1">
                  <c:v>14.43</c:v>
                </c:pt>
              </c:numCache>
            </c:numRef>
          </c:val>
          <c:extLst>
            <c:ext xmlns:c16="http://schemas.microsoft.com/office/drawing/2014/chart" uri="{C3380CC4-5D6E-409C-BE32-E72D297353CC}">
              <c16:uniqueId val="{00000002-7906-4A7C-AAB8-6A2B9EAB9C75}"/>
            </c:ext>
          </c:extLst>
        </c:ser>
        <c:ser>
          <c:idx val="3"/>
          <c:order val="3"/>
          <c:tx>
            <c:strRef>
              <c:f>'Old_2016 Data Manufacturing'!$A$19</c:f>
              <c:strCache>
                <c:ptCount val="1"/>
                <c:pt idx="0">
                  <c:v>4. Pharmaceuticals</c:v>
                </c:pt>
              </c:strCache>
            </c:strRef>
          </c:tx>
          <c:spPr>
            <a:solidFill>
              <a:schemeClr val="accent4"/>
            </a:solidFill>
            <a:ln w="12700">
              <a:solidFill>
                <a:srgbClr val="6633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Manufacturing'!$B$19:$C$19</c:f>
              <c:numCache>
                <c:formatCode>_-[$£-809]* #,##0.00_-;\-[$£-809]* #,##0.00_-;_-[$£-809]* "-"??_-;_-@_-</c:formatCode>
                <c:ptCount val="2"/>
                <c:pt idx="0" formatCode="_-[$£-809]* #,##0.0_-;\-[$£-809]* #,##0.0_-;_-[$£-809]* &quot;-&quot;??_-;_-@_-">
                  <c:v>12.08</c:v>
                </c:pt>
                <c:pt idx="1">
                  <c:v>13.75</c:v>
                </c:pt>
              </c:numCache>
            </c:numRef>
          </c:val>
          <c:extLst>
            <c:ext xmlns:c16="http://schemas.microsoft.com/office/drawing/2014/chart" uri="{C3380CC4-5D6E-409C-BE32-E72D297353CC}">
              <c16:uniqueId val="{00000004-7906-4A7C-AAB8-6A2B9EAB9C75}"/>
            </c:ext>
          </c:extLst>
        </c:ser>
        <c:ser>
          <c:idx val="4"/>
          <c:order val="4"/>
          <c:tx>
            <c:strRef>
              <c:f>'Old_2016 Data Manufacturing'!$A$20</c:f>
              <c:strCache>
                <c:ptCount val="1"/>
                <c:pt idx="0">
                  <c:v>5. Chemicals</c:v>
                </c:pt>
              </c:strCache>
            </c:strRef>
          </c:tx>
          <c:spPr>
            <a:solidFill>
              <a:schemeClr val="accent5"/>
            </a:solidFill>
            <a:ln w="12700">
              <a:solidFill>
                <a:schemeClr val="tx1">
                  <a:lumMod val="95000"/>
                  <a:lumOff val="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Manufacturing'!$B$20:$C$20</c:f>
              <c:numCache>
                <c:formatCode>_-[$£-809]* #,##0.0_-;\-[$£-809]* #,##0.0_-;_-[$£-809]* "-"??_-;_-@_-</c:formatCode>
                <c:ptCount val="2"/>
                <c:pt idx="0">
                  <c:v>14.71</c:v>
                </c:pt>
                <c:pt idx="1">
                  <c:v>10.15</c:v>
                </c:pt>
              </c:numCache>
            </c:numRef>
          </c:val>
          <c:extLst>
            <c:ext xmlns:c16="http://schemas.microsoft.com/office/drawing/2014/chart" uri="{C3380CC4-5D6E-409C-BE32-E72D297353CC}">
              <c16:uniqueId val="{00000007-7906-4A7C-AAB8-6A2B9EAB9C75}"/>
            </c:ext>
          </c:extLst>
        </c:ser>
        <c:ser>
          <c:idx val="5"/>
          <c:order val="5"/>
          <c:tx>
            <c:strRef>
              <c:f>'Old_2016 Data Manufacturing'!$A$21</c:f>
              <c:strCache>
                <c:ptCount val="1"/>
                <c:pt idx="0">
                  <c:v>6. Computers, electronics etc.</c:v>
                </c:pt>
              </c:strCache>
            </c:strRef>
          </c:tx>
          <c:spPr>
            <a:solidFill>
              <a:schemeClr val="accent6"/>
            </a:solidFill>
            <a:ln w="12700">
              <a:solidFill>
                <a:schemeClr val="accent6">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Manufacturing'!$B$21:$C$21</c:f>
              <c:numCache>
                <c:formatCode>_-[$£-809]* #,##0.0_-;\-[$£-809]* #,##0.0_-;_-[$£-809]* "-"??_-;_-@_-</c:formatCode>
                <c:ptCount val="2"/>
                <c:pt idx="0">
                  <c:v>11.59</c:v>
                </c:pt>
                <c:pt idx="1">
                  <c:v>13.13</c:v>
                </c:pt>
              </c:numCache>
            </c:numRef>
          </c:val>
          <c:extLst>
            <c:ext xmlns:c16="http://schemas.microsoft.com/office/drawing/2014/chart" uri="{C3380CC4-5D6E-409C-BE32-E72D297353CC}">
              <c16:uniqueId val="{00000009-7906-4A7C-AAB8-6A2B9EAB9C75}"/>
            </c:ext>
          </c:extLst>
        </c:ser>
        <c:ser>
          <c:idx val="6"/>
          <c:order val="6"/>
          <c:tx>
            <c:strRef>
              <c:f>'Old_2016 Data Manufacturing'!$A$22</c:f>
              <c:strCache>
                <c:ptCount val="1"/>
                <c:pt idx="0">
                  <c:v>7. Basic metals</c:v>
                </c:pt>
              </c:strCache>
            </c:strRef>
          </c:tx>
          <c:spPr>
            <a:solidFill>
              <a:schemeClr val="accent1">
                <a:lumMod val="60000"/>
              </a:schemeClr>
            </a:solidFill>
            <a:ln w="12700">
              <a:solidFill>
                <a:srgbClr val="001C5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Manufacturing'!$B$22:$C$22</c:f>
              <c:numCache>
                <c:formatCode>_-[$£-809]* #,##0.0_-;\-[$£-809]* #,##0.0_-;_-[$£-809]* "-"??_-;_-@_-</c:formatCode>
                <c:ptCount val="2"/>
                <c:pt idx="0">
                  <c:v>5.21</c:v>
                </c:pt>
                <c:pt idx="1">
                  <c:v>10.27</c:v>
                </c:pt>
              </c:numCache>
            </c:numRef>
          </c:val>
          <c:extLst>
            <c:ext xmlns:c16="http://schemas.microsoft.com/office/drawing/2014/chart" uri="{C3380CC4-5D6E-409C-BE32-E72D297353CC}">
              <c16:uniqueId val="{0000000B-7906-4A7C-AAB8-6A2B9EAB9C75}"/>
            </c:ext>
          </c:extLst>
        </c:ser>
        <c:ser>
          <c:idx val="7"/>
          <c:order val="7"/>
          <c:tx>
            <c:strRef>
              <c:f>'Old_2016 Data Manufacturing'!$A$23</c:f>
              <c:strCache>
                <c:ptCount val="1"/>
                <c:pt idx="0">
                  <c:v>8. Food products</c:v>
                </c:pt>
              </c:strCache>
            </c:strRef>
          </c:tx>
          <c:spPr>
            <a:solidFill>
              <a:schemeClr val="accent2">
                <a:lumMod val="60000"/>
              </a:schemeClr>
            </a:solidFill>
            <a:ln w="12700">
              <a:solidFill>
                <a:srgbClr val="062B03"/>
              </a:solidFill>
            </a:ln>
            <a:effectLst/>
          </c:spPr>
          <c:invertIfNegative val="0"/>
          <c:dLbls>
            <c:dLbl>
              <c:idx val="1"/>
              <c:layout>
                <c:manualLayout>
                  <c:x val="0"/>
                  <c:y val="-2.0202020202020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885-4F9D-B6E7-7192DD70978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Manufacturing'!$B$23:$C$23</c:f>
              <c:numCache>
                <c:formatCode>_-[$£-809]* #,##0.0_-;\-[$£-809]* #,##0.0_-;_-[$£-809]* "-"??_-;_-@_-</c:formatCode>
                <c:ptCount val="2"/>
                <c:pt idx="0">
                  <c:v>7.91</c:v>
                </c:pt>
                <c:pt idx="1">
                  <c:v>3.46</c:v>
                </c:pt>
              </c:numCache>
            </c:numRef>
          </c:val>
          <c:extLst>
            <c:ext xmlns:c16="http://schemas.microsoft.com/office/drawing/2014/chart" uri="{C3380CC4-5D6E-409C-BE32-E72D297353CC}">
              <c16:uniqueId val="{0000000C-7906-4A7C-AAB8-6A2B9EAB9C75}"/>
            </c:ext>
          </c:extLst>
        </c:ser>
        <c:ser>
          <c:idx val="8"/>
          <c:order val="8"/>
          <c:tx>
            <c:strRef>
              <c:f>'Old_2016 Data Manufacturing'!$A$24</c:f>
              <c:strCache>
                <c:ptCount val="1"/>
                <c:pt idx="0">
                  <c:v>9. Electrical</c:v>
                </c:pt>
              </c:strCache>
            </c:strRef>
          </c:tx>
          <c:spPr>
            <a:solidFill>
              <a:schemeClr val="accent3">
                <a:lumMod val="60000"/>
              </a:schemeClr>
            </a:solidFill>
            <a:ln w="12700">
              <a:solidFill>
                <a:schemeClr val="tx1">
                  <a:lumMod val="75000"/>
                  <a:lumOff val="25000"/>
                </a:schemeClr>
              </a:solidFill>
            </a:ln>
            <a:effectLst/>
          </c:spPr>
          <c:invertIfNegative val="0"/>
          <c:dLbls>
            <c:dLbl>
              <c:idx val="0"/>
              <c:layout>
                <c:manualLayout>
                  <c:x val="0"/>
                  <c:y val="3.03030303030303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885-4F9D-B6E7-7192DD70978F}"/>
                </c:ext>
              </c:extLst>
            </c:dLbl>
            <c:dLbl>
              <c:idx val="1"/>
              <c:layout>
                <c:manualLayout>
                  <c:x val="0"/>
                  <c:y val="3.03030303030303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885-4F9D-B6E7-7192DD70978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Manufacturing'!$B$24:$C$24</c:f>
              <c:numCache>
                <c:formatCode>_-[$£-809]* #,##0.0_-;\-[$£-809]* #,##0.0_-;_-[$£-809]* "-"??_-;_-@_-</c:formatCode>
                <c:ptCount val="2"/>
                <c:pt idx="0">
                  <c:v>4.8099999999999996</c:v>
                </c:pt>
                <c:pt idx="1">
                  <c:v>5.52</c:v>
                </c:pt>
              </c:numCache>
            </c:numRef>
          </c:val>
          <c:extLst>
            <c:ext xmlns:c16="http://schemas.microsoft.com/office/drawing/2014/chart" uri="{C3380CC4-5D6E-409C-BE32-E72D297353CC}">
              <c16:uniqueId val="{0000000D-7906-4A7C-AAB8-6A2B9EAB9C75}"/>
            </c:ext>
          </c:extLst>
        </c:ser>
        <c:ser>
          <c:idx val="9"/>
          <c:order val="9"/>
          <c:tx>
            <c:strRef>
              <c:f>'Old_2016 Data Manufacturing'!$A$25</c:f>
              <c:strCache>
                <c:ptCount val="1"/>
                <c:pt idx="0">
                  <c:v>10. Beverages</c:v>
                </c:pt>
              </c:strCache>
            </c:strRef>
          </c:tx>
          <c:spPr>
            <a:solidFill>
              <a:schemeClr val="accent4">
                <a:lumMod val="60000"/>
              </a:schemeClr>
            </a:solidFill>
            <a:ln w="12700">
              <a:solidFill>
                <a:srgbClr val="663300"/>
              </a:solidFill>
            </a:ln>
            <a:effectLst/>
          </c:spPr>
          <c:invertIfNegative val="0"/>
          <c:dLbls>
            <c:dLbl>
              <c:idx val="0"/>
              <c:layout>
                <c:manualLayout>
                  <c:x val="0"/>
                  <c:y val="-3.03026326254672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885-4F9D-B6E7-7192DD70978F}"/>
                </c:ext>
              </c:extLst>
            </c:dLbl>
            <c:dLbl>
              <c:idx val="1"/>
              <c:layout>
                <c:manualLayout>
                  <c:x val="0"/>
                  <c:y val="-2.0202020202020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85-4F9D-B6E7-7192DD70978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Manufacturing'!$B$25:$C$25</c:f>
              <c:numCache>
                <c:formatCode>_-[$£-809]* #,##0.0_-;\-[$£-809]* #,##0.0_-;_-[$£-809]* "-"??_-;_-@_-</c:formatCode>
                <c:ptCount val="2"/>
                <c:pt idx="0">
                  <c:v>2.61</c:v>
                </c:pt>
                <c:pt idx="1">
                  <c:v>4.4800000000000004</c:v>
                </c:pt>
              </c:numCache>
            </c:numRef>
          </c:val>
          <c:extLst>
            <c:ext xmlns:c16="http://schemas.microsoft.com/office/drawing/2014/chart" uri="{C3380CC4-5D6E-409C-BE32-E72D297353CC}">
              <c16:uniqueId val="{0000000E-7906-4A7C-AAB8-6A2B9EAB9C75}"/>
            </c:ext>
          </c:extLst>
        </c:ser>
        <c:ser>
          <c:idx val="10"/>
          <c:order val="10"/>
          <c:tx>
            <c:strRef>
              <c:f>'Old_2016 Data Manufacturing'!$A$26</c:f>
              <c:strCache>
                <c:ptCount val="1"/>
                <c:pt idx="0">
                  <c:v>Other manufactured</c:v>
                </c:pt>
              </c:strCache>
            </c:strRef>
          </c:tx>
          <c:spPr>
            <a:solidFill>
              <a:schemeClr val="accent5">
                <a:lumMod val="60000"/>
              </a:schemeClr>
            </a:solidFill>
            <a:ln w="12700">
              <a:solidFill>
                <a:srgbClr val="002060"/>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Manufacturing'!$B$26:$C$26</c:f>
              <c:numCache>
                <c:formatCode>_-[$£-809]* #,##0.0_-;\-[$£-809]* #,##0.0_-;_-[$£-809]* "-"??_-;_-@_-</c:formatCode>
                <c:ptCount val="2"/>
                <c:pt idx="0">
                  <c:v>30.5</c:v>
                </c:pt>
                <c:pt idx="1">
                  <c:v>22.230000000000018</c:v>
                </c:pt>
              </c:numCache>
            </c:numRef>
          </c:val>
          <c:extLst>
            <c:ext xmlns:c16="http://schemas.microsoft.com/office/drawing/2014/chart" uri="{C3380CC4-5D6E-409C-BE32-E72D297353CC}">
              <c16:uniqueId val="{0000000F-7906-4A7C-AAB8-6A2B9EAB9C75}"/>
            </c:ext>
          </c:extLst>
        </c:ser>
        <c:dLbls>
          <c:dLblPos val="ctr"/>
          <c:showLegendKey val="0"/>
          <c:showVal val="1"/>
          <c:showCatName val="0"/>
          <c:showSerName val="0"/>
          <c:showPercent val="0"/>
          <c:showBubbleSize val="0"/>
        </c:dLbls>
        <c:gapWidth val="56"/>
        <c:overlap val="100"/>
        <c:axId val="592131296"/>
        <c:axId val="592132608"/>
      </c:barChart>
      <c:catAx>
        <c:axId val="592131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592132608"/>
        <c:crosses val="autoZero"/>
        <c:auto val="1"/>
        <c:lblAlgn val="ctr"/>
        <c:lblOffset val="100"/>
        <c:noMultiLvlLbl val="0"/>
      </c:catAx>
      <c:valAx>
        <c:axId val="592132608"/>
        <c:scaling>
          <c:orientation val="minMax"/>
          <c:max val="16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 billion</a:t>
                </a:r>
              </a:p>
            </c:rich>
          </c:tx>
          <c:layout>
            <c:manualLayout>
              <c:xMode val="edge"/>
              <c:yMode val="edge"/>
              <c:x val="0.48300540960763422"/>
              <c:y val="0.7190122348375008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high"/>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92131296"/>
        <c:crosses val="autoZero"/>
        <c:crossBetween val="between"/>
      </c:valAx>
      <c:spPr>
        <a:noFill/>
        <a:ln>
          <a:noFill/>
        </a:ln>
        <a:effectLst/>
      </c:spPr>
    </c:plotArea>
    <c:legend>
      <c:legendPos val="b"/>
      <c:layout>
        <c:manualLayout>
          <c:xMode val="edge"/>
          <c:yMode val="edge"/>
          <c:x val="2.9049836601307187E-2"/>
          <c:y val="0.78605685652929747"/>
          <c:w val="0.95218839001507782"/>
          <c:h val="0.20427600554037523"/>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AU" b="1">
                <a:solidFill>
                  <a:schemeClr val="tx1">
                    <a:lumMod val="85000"/>
                    <a:lumOff val="15000"/>
                  </a:schemeClr>
                </a:solidFill>
              </a:rPr>
              <a:t>UK exports</a:t>
            </a:r>
            <a:r>
              <a:rPr lang="en-AU" b="1" baseline="0">
                <a:solidFill>
                  <a:schemeClr val="tx1">
                    <a:lumMod val="85000"/>
                    <a:lumOff val="15000"/>
                  </a:schemeClr>
                </a:solidFill>
              </a:rPr>
              <a:t> to EU &amp; non-EU countries</a:t>
            </a:r>
            <a:r>
              <a:rPr lang="en-AU" b="1">
                <a:solidFill>
                  <a:schemeClr val="tx1">
                    <a:lumMod val="85000"/>
                    <a:lumOff val="15000"/>
                  </a:schemeClr>
                </a:solidFill>
              </a:rPr>
              <a:t>:</a:t>
            </a:r>
            <a:r>
              <a:rPr lang="en-AU" b="1" baseline="0">
                <a:solidFill>
                  <a:schemeClr val="tx1">
                    <a:lumMod val="85000"/>
                    <a:lumOff val="15000"/>
                  </a:schemeClr>
                </a:solidFill>
              </a:rPr>
              <a:t> 2017</a:t>
            </a:r>
            <a:endParaRPr lang="en-AU" b="1">
              <a:solidFill>
                <a:schemeClr val="tx1">
                  <a:lumMod val="85000"/>
                  <a:lumOff val="15000"/>
                </a:schemeClr>
              </a:solidFill>
            </a:endParaRPr>
          </a:p>
        </c:rich>
      </c:tx>
      <c:layout>
        <c:manualLayout>
          <c:xMode val="edge"/>
          <c:yMode val="edge"/>
          <c:x val="0.14183689414787873"/>
          <c:y val="3.161945950475079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0.13700874167588556"/>
          <c:y val="0.16194255968010454"/>
          <c:w val="0.83268822802108411"/>
          <c:h val="0.64590494720405101"/>
        </c:manualLayout>
      </c:layout>
      <c:barChart>
        <c:barDir val="col"/>
        <c:grouping val="stacked"/>
        <c:varyColors val="0"/>
        <c:ser>
          <c:idx val="0"/>
          <c:order val="0"/>
          <c:tx>
            <c:strRef>
              <c:f>'1. All Trade'!$A$8</c:f>
              <c:strCache>
                <c:ptCount val="1"/>
                <c:pt idx="0">
                  <c:v>Goods (£bn)</c:v>
                </c:pt>
              </c:strCache>
            </c:strRef>
          </c:tx>
          <c:spPr>
            <a:solidFill>
              <a:srgbClr val="002060"/>
            </a:solidFill>
            <a:ln w="12700">
              <a:solidFill>
                <a:sysClr val="windowText" lastClr="000000"/>
              </a:solidFill>
            </a:ln>
            <a:effectLst/>
          </c:spPr>
          <c:invertIfNegative val="0"/>
          <c:dLbls>
            <c:dLbl>
              <c:idx val="0"/>
              <c:tx>
                <c:rich>
                  <a:bodyPr/>
                  <a:lstStyle/>
                  <a:p>
                    <a:fld id="{A2EF2BAC-BCB9-4818-A401-2417AA94245A}" type="VALUE">
                      <a:rPr lang="en-US"/>
                      <a:pPr/>
                      <a:t>[VALUE]</a:t>
                    </a:fld>
                    <a:r>
                      <a:rPr lang="en-US"/>
                      <a:t>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7CED-4418-8B4E-39B6964A8883}"/>
                </c:ext>
              </c:extLst>
            </c:dLbl>
            <c:dLbl>
              <c:idx val="1"/>
              <c:tx>
                <c:rich>
                  <a:bodyPr/>
                  <a:lstStyle/>
                  <a:p>
                    <a:fld id="{5C6CD886-5F17-4636-861F-E6E95FB0D6CD}" type="VALUE">
                      <a:rPr lang="en-US"/>
                      <a:pPr/>
                      <a:t>[VALUE]</a:t>
                    </a:fld>
                    <a:r>
                      <a:rPr lang="en-US"/>
                      <a:t> 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CED-4418-8B4E-39B6964A8883}"/>
                </c:ext>
              </c:extLst>
            </c:dLbl>
            <c:numFmt formatCode="_-[$£-809]* #,##0_-;\-[$£-809]* #,##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Trade'!$B$7:$C$7</c:f>
              <c:strCache>
                <c:ptCount val="2"/>
                <c:pt idx="0">
                  <c:v>EU</c:v>
                </c:pt>
                <c:pt idx="1">
                  <c:v>Non-EU</c:v>
                </c:pt>
              </c:strCache>
            </c:strRef>
          </c:cat>
          <c:val>
            <c:numRef>
              <c:f>'1. All Trade'!$B$8:$C$8</c:f>
              <c:numCache>
                <c:formatCode>_-[$£-809]* #,##0.0_-;\-[$£-809]* #,##0.0_-;_-[$£-809]* "-"??_-;_-@_-</c:formatCode>
                <c:ptCount val="2"/>
                <c:pt idx="0">
                  <c:v>172.21100000000001</c:v>
                </c:pt>
                <c:pt idx="1">
                  <c:v>178.44</c:v>
                </c:pt>
              </c:numCache>
            </c:numRef>
          </c:val>
          <c:extLst>
            <c:ext xmlns:c16="http://schemas.microsoft.com/office/drawing/2014/chart" uri="{C3380CC4-5D6E-409C-BE32-E72D297353CC}">
              <c16:uniqueId val="{00000002-7CED-4418-8B4E-39B6964A8883}"/>
            </c:ext>
          </c:extLst>
        </c:ser>
        <c:ser>
          <c:idx val="1"/>
          <c:order val="1"/>
          <c:tx>
            <c:strRef>
              <c:f>'1. All Trade'!$A$9</c:f>
              <c:strCache>
                <c:ptCount val="1"/>
                <c:pt idx="0">
                  <c:v>Services (£bn)</c:v>
                </c:pt>
              </c:strCache>
            </c:strRef>
          </c:tx>
          <c:spPr>
            <a:solidFill>
              <a:srgbClr val="C00000"/>
            </a:solidFill>
            <a:ln w="12700" cmpd="sng">
              <a:solidFill>
                <a:srgbClr val="800000"/>
              </a:solidFill>
            </a:ln>
            <a:effectLst/>
          </c:spPr>
          <c:invertIfNegative val="0"/>
          <c:dLbls>
            <c:dLbl>
              <c:idx val="0"/>
              <c:tx>
                <c:rich>
                  <a:bodyPr/>
                  <a:lstStyle/>
                  <a:p>
                    <a:fld id="{5B94571F-9F7F-49A4-B22C-C2F7DC234E8F}" type="VALUE">
                      <a:rPr lang="en-US"/>
                      <a:pPr/>
                      <a:t>[VALUE]</a:t>
                    </a:fld>
                    <a:r>
                      <a:rPr lang="en-US"/>
                      <a:t>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CED-4418-8B4E-39B6964A8883}"/>
                </c:ext>
              </c:extLst>
            </c:dLbl>
            <c:dLbl>
              <c:idx val="1"/>
              <c:tx>
                <c:rich>
                  <a:bodyPr/>
                  <a:lstStyle/>
                  <a:p>
                    <a:fld id="{6CEC8278-BBCF-4067-BF92-035A830CB487}" type="VALUE">
                      <a:rPr lang="en-US"/>
                      <a:pPr/>
                      <a:t>[VALUE]</a:t>
                    </a:fld>
                    <a:r>
                      <a:rPr lang="en-US"/>
                      <a:t>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7CED-4418-8B4E-39B6964A8883}"/>
                </c:ext>
              </c:extLst>
            </c:dLbl>
            <c:numFmt formatCode="_-[$£-809]* #,##0_-;\-[$£-809]* #,##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Trade'!$B$7:$C$7</c:f>
              <c:strCache>
                <c:ptCount val="2"/>
                <c:pt idx="0">
                  <c:v>EU</c:v>
                </c:pt>
                <c:pt idx="1">
                  <c:v>Non-EU</c:v>
                </c:pt>
              </c:strCache>
            </c:strRef>
          </c:cat>
          <c:val>
            <c:numRef>
              <c:f>'1. All Trade'!$B$9:$C$9</c:f>
              <c:numCache>
                <c:formatCode>_-[$£-809]* #,##0.0_-;\-[$£-809]* #,##0.0_-;_-[$£-809]* "-"??_-;_-@_-</c:formatCode>
                <c:ptCount val="2"/>
                <c:pt idx="0">
                  <c:v>116.70699999999999</c:v>
                </c:pt>
                <c:pt idx="1">
                  <c:v>166.70400000000001</c:v>
                </c:pt>
              </c:numCache>
            </c:numRef>
          </c:val>
          <c:extLst>
            <c:ext xmlns:c16="http://schemas.microsoft.com/office/drawing/2014/chart" uri="{C3380CC4-5D6E-409C-BE32-E72D297353CC}">
              <c16:uniqueId val="{00000005-7CED-4418-8B4E-39B6964A8883}"/>
            </c:ext>
          </c:extLst>
        </c:ser>
        <c:dLbls>
          <c:dLblPos val="ctr"/>
          <c:showLegendKey val="0"/>
          <c:showVal val="1"/>
          <c:showCatName val="0"/>
          <c:showSerName val="0"/>
          <c:showPercent val="0"/>
          <c:showBubbleSize val="0"/>
        </c:dLbls>
        <c:gapWidth val="150"/>
        <c:overlap val="100"/>
        <c:axId val="607280504"/>
        <c:axId val="607277224"/>
      </c:barChart>
      <c:catAx>
        <c:axId val="607280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607277224"/>
        <c:crosses val="autoZero"/>
        <c:auto val="1"/>
        <c:lblAlgn val="ctr"/>
        <c:lblOffset val="100"/>
        <c:noMultiLvlLbl val="0"/>
      </c:catAx>
      <c:valAx>
        <c:axId val="607277224"/>
        <c:scaling>
          <c:orientation val="minMax"/>
          <c:max val="3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r>
                  <a:rPr lang="en-AU" sz="1100">
                    <a:solidFill>
                      <a:schemeClr val="tx1">
                        <a:lumMod val="85000"/>
                        <a:lumOff val="15000"/>
                      </a:schemeClr>
                    </a:solidFill>
                  </a:rPr>
                  <a:t>£ billion</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607280504"/>
        <c:crosses val="autoZero"/>
        <c:crossBetween val="between"/>
      </c:valAx>
      <c:spPr>
        <a:noFill/>
        <a:ln w="12700">
          <a:solidFill>
            <a:schemeClr val="bg1">
              <a:lumMod val="95000"/>
            </a:schemeClr>
          </a:solidFill>
        </a:ln>
        <a:effectLst/>
      </c:spPr>
    </c:plotArea>
    <c:legend>
      <c:legendPos val="b"/>
      <c:layout>
        <c:manualLayout>
          <c:xMode val="edge"/>
          <c:yMode val="edge"/>
          <c:x val="0.27129769466957188"/>
          <c:y val="0.89324998144957335"/>
          <c:w val="0.47692632857203243"/>
          <c:h val="0.1067500185504266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chemeClr val="tx1">
                    <a:lumMod val="85000"/>
                    <a:lumOff val="15000"/>
                  </a:schemeClr>
                </a:solidFill>
                <a:latin typeface="+mn-lt"/>
                <a:ea typeface="+mn-ea"/>
                <a:cs typeface="+mn-cs"/>
              </a:defRPr>
            </a:pPr>
            <a:r>
              <a:rPr lang="en-AU" sz="1400" b="1" i="0" u="none" strike="noStrike" kern="1200" spc="0" baseline="0">
                <a:solidFill>
                  <a:schemeClr val="tx1">
                    <a:lumMod val="85000"/>
                    <a:lumOff val="15000"/>
                  </a:schemeClr>
                </a:solidFill>
                <a:latin typeface="+mn-lt"/>
                <a:ea typeface="+mn-ea"/>
                <a:cs typeface="+mn-cs"/>
              </a:rPr>
              <a:t>How UK currently exports: </a:t>
            </a:r>
          </a:p>
          <a:p>
            <a:pPr>
              <a:defRPr lang="en-AU" b="1">
                <a:solidFill>
                  <a:schemeClr val="tx1">
                    <a:lumMod val="85000"/>
                    <a:lumOff val="15000"/>
                  </a:schemeClr>
                </a:solidFill>
              </a:defRPr>
            </a:pPr>
            <a:r>
              <a:rPr lang="en-AU" sz="1400" b="1" i="0" u="none" strike="noStrike" kern="1200" spc="0" baseline="0">
                <a:solidFill>
                  <a:schemeClr val="tx1">
                    <a:lumMod val="85000"/>
                    <a:lumOff val="15000"/>
                  </a:schemeClr>
                </a:solidFill>
                <a:latin typeface="+mn-lt"/>
                <a:ea typeface="+mn-ea"/>
                <a:cs typeface="+mn-cs"/>
              </a:rPr>
              <a:t>EU, EFTA, existing FTA &amp; WTO (2015)</a:t>
            </a:r>
          </a:p>
        </c:rich>
      </c:tx>
      <c:layout>
        <c:manualLayout>
          <c:xMode val="edge"/>
          <c:yMode val="edge"/>
          <c:x val="0.22469419146260422"/>
          <c:y val="1.8605776375915456E-2"/>
        </c:manualLayout>
      </c:layout>
      <c:overlay val="0"/>
      <c:spPr>
        <a:noFill/>
        <a:ln>
          <a:noFill/>
        </a:ln>
        <a:effectLst/>
      </c:spPr>
      <c:txPr>
        <a:bodyPr rot="0" spcFirstLastPara="1" vertOverflow="ellipsis" vert="horz" wrap="square" anchor="ctr" anchorCtr="1"/>
        <a:lstStyle/>
        <a:p>
          <a:pPr>
            <a:defRPr lang="en-AU"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8.2329752264960809E-2"/>
          <c:y val="0.20965330521374972"/>
          <c:w val="0.42785240358557791"/>
          <c:h val="0.73680918045356691"/>
        </c:manualLayout>
      </c:layout>
      <c:doughnutChart>
        <c:varyColors val="1"/>
        <c:ser>
          <c:idx val="0"/>
          <c:order val="0"/>
          <c:tx>
            <c:strRef>
              <c:f>'1. All Trade'!$B$33</c:f>
              <c:strCache>
                <c:ptCount val="1"/>
                <c:pt idx="0">
                  <c:v>UK Services</c:v>
                </c:pt>
              </c:strCache>
            </c:strRef>
          </c:tx>
          <c:explosion val="4"/>
          <c:dPt>
            <c:idx val="0"/>
            <c:bubble3D val="0"/>
            <c:spPr>
              <a:solidFill>
                <a:srgbClr val="002060"/>
              </a:solidFill>
              <a:ln w="19050">
                <a:solidFill>
                  <a:schemeClr val="lt1"/>
                </a:solidFill>
              </a:ln>
              <a:effectLst/>
            </c:spPr>
            <c:extLst>
              <c:ext xmlns:c16="http://schemas.microsoft.com/office/drawing/2014/chart" uri="{C3380CC4-5D6E-409C-BE32-E72D297353CC}">
                <c16:uniqueId val="{00000009-0BE9-44D0-A5DC-76EE56A0D139}"/>
              </c:ext>
            </c:extLst>
          </c:dPt>
          <c:dPt>
            <c:idx val="1"/>
            <c:bubble3D val="0"/>
            <c:explosion val="0"/>
            <c:spPr>
              <a:solidFill>
                <a:srgbClr val="FFC000"/>
              </a:solidFill>
              <a:ln w="19050">
                <a:solidFill>
                  <a:schemeClr val="lt1"/>
                </a:solidFill>
              </a:ln>
              <a:effectLst/>
            </c:spPr>
            <c:extLst>
              <c:ext xmlns:c16="http://schemas.microsoft.com/office/drawing/2014/chart" uri="{C3380CC4-5D6E-409C-BE32-E72D297353CC}">
                <c16:uniqueId val="{00000006-0BE9-44D0-A5DC-76EE56A0D139}"/>
              </c:ext>
            </c:extLst>
          </c:dPt>
          <c:dPt>
            <c:idx val="2"/>
            <c:bubble3D val="0"/>
            <c:spPr>
              <a:solidFill>
                <a:schemeClr val="accent2">
                  <a:lumMod val="50000"/>
                </a:schemeClr>
              </a:solidFill>
              <a:ln w="19050">
                <a:solidFill>
                  <a:schemeClr val="lt1"/>
                </a:solidFill>
              </a:ln>
              <a:effectLst/>
            </c:spPr>
            <c:extLst>
              <c:ext xmlns:c16="http://schemas.microsoft.com/office/drawing/2014/chart" uri="{C3380CC4-5D6E-409C-BE32-E72D297353CC}">
                <c16:uniqueId val="{00000007-0BE9-44D0-A5DC-76EE56A0D139}"/>
              </c:ext>
            </c:extLst>
          </c:dPt>
          <c:dPt>
            <c:idx val="3"/>
            <c:bubble3D val="0"/>
            <c:spPr>
              <a:solidFill>
                <a:srgbClr val="C00000"/>
              </a:solidFill>
              <a:ln w="19050">
                <a:solidFill>
                  <a:schemeClr val="lt1"/>
                </a:solidFill>
              </a:ln>
              <a:effectLst/>
            </c:spPr>
            <c:extLst>
              <c:ext xmlns:c16="http://schemas.microsoft.com/office/drawing/2014/chart" uri="{C3380CC4-5D6E-409C-BE32-E72D297353CC}">
                <c16:uniqueId val="{00000004-0BE9-44D0-A5DC-76EE56A0D139}"/>
              </c:ext>
            </c:extLst>
          </c:dPt>
          <c:dLbls>
            <c:dLbl>
              <c:idx val="1"/>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6-0BE9-44D0-A5DC-76EE56A0D139}"/>
                </c:ext>
              </c:extLst>
            </c:dLbl>
            <c:dLbl>
              <c:idx val="2"/>
              <c:delete val="1"/>
              <c:extLst>
                <c:ext xmlns:c15="http://schemas.microsoft.com/office/drawing/2012/chart" uri="{CE6537A1-D6FC-4f65-9D91-7224C49458BB}"/>
                <c:ext xmlns:c16="http://schemas.microsoft.com/office/drawing/2014/chart" uri="{C3380CC4-5D6E-409C-BE32-E72D297353CC}">
                  <c16:uniqueId val="{00000007-0BE9-44D0-A5DC-76EE56A0D13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All Trade'!$A$34:$A$37</c:f>
              <c:strCache>
                <c:ptCount val="4"/>
                <c:pt idx="0">
                  <c:v>EU </c:v>
                </c:pt>
                <c:pt idx="1">
                  <c:v>European Free Trade Association</c:v>
                </c:pt>
                <c:pt idx="2">
                  <c:v>EU-Negotiated Trade Agreements</c:v>
                </c:pt>
                <c:pt idx="3">
                  <c:v>World Trade Organisation</c:v>
                </c:pt>
              </c:strCache>
            </c:strRef>
          </c:cat>
          <c:val>
            <c:numRef>
              <c:f>'1. All Trade'!$B$34:$B$37</c:f>
              <c:numCache>
                <c:formatCode>0.0%</c:formatCode>
                <c:ptCount val="4"/>
                <c:pt idx="0">
                  <c:v>0.39457081276806399</c:v>
                </c:pt>
                <c:pt idx="1">
                  <c:v>7.1999999999999995E-2</c:v>
                </c:pt>
                <c:pt idx="2">
                  <c:v>1.7999999999999999E-2</c:v>
                </c:pt>
                <c:pt idx="3">
                  <c:v>0.51542918723193598</c:v>
                </c:pt>
              </c:numCache>
            </c:numRef>
          </c:val>
          <c:extLst>
            <c:ext xmlns:c16="http://schemas.microsoft.com/office/drawing/2014/chart" uri="{C3380CC4-5D6E-409C-BE32-E72D297353CC}">
              <c16:uniqueId val="{00000000-0BE9-44D0-A5DC-76EE56A0D139}"/>
            </c:ext>
          </c:extLst>
        </c:ser>
        <c:ser>
          <c:idx val="1"/>
          <c:order val="1"/>
          <c:tx>
            <c:strRef>
              <c:f>'1. All Trade'!$C$33</c:f>
              <c:strCache>
                <c:ptCount val="1"/>
                <c:pt idx="0">
                  <c:v>UK Goods</c:v>
                </c:pt>
              </c:strCache>
            </c:strRef>
          </c:tx>
          <c:explosion val="4"/>
          <c:dPt>
            <c:idx val="0"/>
            <c:bubble3D val="0"/>
            <c:spPr>
              <a:solidFill>
                <a:srgbClr val="002060"/>
              </a:solidFill>
              <a:ln w="19050">
                <a:solidFill>
                  <a:schemeClr val="lt1"/>
                </a:solidFill>
              </a:ln>
              <a:effectLst/>
            </c:spPr>
            <c:extLst>
              <c:ext xmlns:c16="http://schemas.microsoft.com/office/drawing/2014/chart" uri="{C3380CC4-5D6E-409C-BE32-E72D297353CC}">
                <c16:uniqueId val="{00000003-0BE9-44D0-A5DC-76EE56A0D13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5-0BE9-44D0-A5DC-76EE56A0D139}"/>
              </c:ext>
            </c:extLst>
          </c:dPt>
          <c:dPt>
            <c:idx val="2"/>
            <c:bubble3D val="0"/>
            <c:spPr>
              <a:solidFill>
                <a:schemeClr val="accent2">
                  <a:lumMod val="50000"/>
                </a:schemeClr>
              </a:solidFill>
              <a:ln w="19050">
                <a:solidFill>
                  <a:schemeClr val="lt1"/>
                </a:solidFill>
              </a:ln>
              <a:effectLst/>
            </c:spPr>
            <c:extLst>
              <c:ext xmlns:c16="http://schemas.microsoft.com/office/drawing/2014/chart" uri="{C3380CC4-5D6E-409C-BE32-E72D297353CC}">
                <c16:uniqueId val="{00000008-0BE9-44D0-A5DC-76EE56A0D139}"/>
              </c:ext>
            </c:extLst>
          </c:dPt>
          <c:dPt>
            <c:idx val="3"/>
            <c:bubble3D val="0"/>
            <c:spPr>
              <a:solidFill>
                <a:srgbClr val="C00000"/>
              </a:solidFill>
              <a:ln w="19050">
                <a:solidFill>
                  <a:schemeClr val="lt1"/>
                </a:solidFill>
              </a:ln>
              <a:effectLst/>
            </c:spPr>
            <c:extLst>
              <c:ext xmlns:c16="http://schemas.microsoft.com/office/drawing/2014/chart" uri="{C3380CC4-5D6E-409C-BE32-E72D297353CC}">
                <c16:uniqueId val="{00000002-0BE9-44D0-A5DC-76EE56A0D139}"/>
              </c:ext>
            </c:extLst>
          </c:dPt>
          <c:dLbls>
            <c:dLbl>
              <c:idx val="1"/>
              <c:numFmt formatCode="0%" sourceLinked="0"/>
              <c:spPr>
                <a:noFill/>
                <a:ln>
                  <a:noFill/>
                </a:ln>
                <a:effectLst/>
              </c:spPr>
              <c:txPr>
                <a:bodyPr rot="0" spcFirstLastPara="1" vertOverflow="ellipsis" vert="horz" wrap="square" lIns="38100" tIns="19050" rIns="38100" bIns="19050" anchor="ctr" anchorCtr="0">
                  <a:spAutoFit/>
                </a:bodyPr>
                <a:lstStyle/>
                <a:p>
                  <a:pPr algn="ctr">
                    <a:defRPr lang="en-AU"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5-0BE9-44D0-A5DC-76EE56A0D139}"/>
                </c:ext>
              </c:extLst>
            </c:dLbl>
            <c:numFmt formatCode="0%" sourceLinked="0"/>
            <c:spPr>
              <a:noFill/>
              <a:ln>
                <a:noFill/>
              </a:ln>
              <a:effectLst/>
            </c:spPr>
            <c:txPr>
              <a:bodyPr rot="0" spcFirstLastPara="1" vertOverflow="ellipsis" vert="horz" wrap="square" lIns="38100" tIns="19050" rIns="38100" bIns="19050" anchor="ctr" anchorCtr="0">
                <a:spAutoFit/>
              </a:bodyPr>
              <a:lstStyle/>
              <a:p>
                <a:pPr algn="ctr">
                  <a:defRPr lang="en-AU" sz="10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All Trade'!$A$34:$A$37</c:f>
              <c:strCache>
                <c:ptCount val="4"/>
                <c:pt idx="0">
                  <c:v>EU </c:v>
                </c:pt>
                <c:pt idx="1">
                  <c:v>European Free Trade Association</c:v>
                </c:pt>
                <c:pt idx="2">
                  <c:v>EU-Negotiated Trade Agreements</c:v>
                </c:pt>
                <c:pt idx="3">
                  <c:v>World Trade Organisation</c:v>
                </c:pt>
              </c:strCache>
            </c:strRef>
          </c:cat>
          <c:val>
            <c:numRef>
              <c:f>'1. All Trade'!$C$34:$C$37</c:f>
              <c:numCache>
                <c:formatCode>0.0%</c:formatCode>
                <c:ptCount val="4"/>
                <c:pt idx="0">
                  <c:v>0.47589214928694273</c:v>
                </c:pt>
                <c:pt idx="1">
                  <c:v>8.1000000000000003E-2</c:v>
                </c:pt>
                <c:pt idx="2">
                  <c:v>6.0999999999999999E-2</c:v>
                </c:pt>
                <c:pt idx="3">
                  <c:v>0.38210785071305731</c:v>
                </c:pt>
              </c:numCache>
            </c:numRef>
          </c:val>
          <c:extLst>
            <c:ext xmlns:c16="http://schemas.microsoft.com/office/drawing/2014/chart" uri="{C3380CC4-5D6E-409C-BE32-E72D297353CC}">
              <c16:uniqueId val="{00000001-0BE9-44D0-A5DC-76EE56A0D139}"/>
            </c:ext>
          </c:extLst>
        </c:ser>
        <c:dLbls>
          <c:showLegendKey val="0"/>
          <c:showVal val="0"/>
          <c:showCatName val="0"/>
          <c:showSerName val="0"/>
          <c:showPercent val="0"/>
          <c:showBubbleSize val="0"/>
          <c:showLeaderLines val="1"/>
        </c:dLbls>
        <c:firstSliceAng val="0"/>
        <c:holeSize val="38"/>
      </c:doughnutChart>
      <c:spPr>
        <a:noFill/>
        <a:ln>
          <a:noFill/>
        </a:ln>
        <a:effectLst/>
      </c:spPr>
    </c:plotArea>
    <c:legend>
      <c:legendPos val="b"/>
      <c:layout>
        <c:manualLayout>
          <c:xMode val="edge"/>
          <c:yMode val="edge"/>
          <c:x val="0.5771782046405477"/>
          <c:y val="0.22520852641334568"/>
          <c:w val="0.37447147204260173"/>
          <c:h val="0.69458704065215227"/>
        </c:manualLayout>
      </c:layout>
      <c:overlay val="0"/>
      <c:spPr>
        <a:noFill/>
        <a:ln>
          <a:noFill/>
        </a:ln>
        <a:effectLst/>
      </c:spPr>
      <c:txPr>
        <a:bodyPr rot="0" spcFirstLastPara="1" vertOverflow="ellipsis" vert="horz" wrap="square" anchor="ctr" anchorCtr="1"/>
        <a:lstStyle/>
        <a:p>
          <a:pPr rtl="0">
            <a:defRPr sz="105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userShapes r:id="rId3"/>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UK-EU trade in goods: 1998 – 2017</a:t>
            </a:r>
          </a:p>
          <a:p>
            <a:pPr marL="0" marR="0" lvl="0" indent="0" algn="ctr" defTabSz="914400" rtl="0" eaLnBrk="1" fontAlgn="auto" latinLnBrk="0" hangingPunct="1">
              <a:lnSpc>
                <a:spcPct val="100000"/>
              </a:lnSpc>
              <a:spcBef>
                <a:spcPts val="0"/>
              </a:spcBef>
              <a:spcAft>
                <a:spcPts val="0"/>
              </a:spcAft>
              <a:buClrTx/>
              <a:buSzTx/>
              <a:buFontTx/>
              <a:buNone/>
              <a:tabLst/>
              <a:defRPr lang="en-AU" b="1">
                <a:solidFill>
                  <a:sysClr val="windowText" lastClr="000000">
                    <a:lumMod val="65000"/>
                    <a:lumOff val="35000"/>
                  </a:sysClr>
                </a:solidFill>
              </a:defRPr>
            </a:pPr>
            <a:endParaRPr lang="en-AU" sz="1400" b="1" i="0" u="none" strike="noStrike" kern="1200" spc="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7.7586723911118996E-2"/>
          <c:y val="0.14883078394891275"/>
          <c:w val="0.90585532259978119"/>
          <c:h val="0.63545037472922417"/>
        </c:manualLayout>
      </c:layout>
      <c:barChart>
        <c:barDir val="col"/>
        <c:grouping val="clustered"/>
        <c:varyColors val="0"/>
        <c:ser>
          <c:idx val="0"/>
          <c:order val="0"/>
          <c:tx>
            <c:strRef>
              <c:f>'2. Trade in Goods'!$A$138</c:f>
              <c:strCache>
                <c:ptCount val="1"/>
                <c:pt idx="0">
                  <c:v>Total goods exports to EU</c:v>
                </c:pt>
              </c:strCache>
            </c:strRef>
          </c:tx>
          <c:spPr>
            <a:solidFill>
              <a:srgbClr val="800000"/>
            </a:solidFill>
            <a:ln>
              <a:solidFill>
                <a:srgbClr val="990000"/>
              </a:solidFill>
            </a:ln>
            <a:effectLst/>
          </c:spPr>
          <c:invertIfNegative val="0"/>
          <c:cat>
            <c:strRef>
              <c:f>'2.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'2. Trade in Goods'!$B$138:$U$138</c:f>
              <c:numCache>
                <c:formatCode>0.00</c:formatCode>
                <c:ptCount val="20"/>
                <c:pt idx="0">
                  <c:v>135.46820027063598</c:v>
                </c:pt>
                <c:pt idx="1">
                  <c:v>137.94070080862534</c:v>
                </c:pt>
                <c:pt idx="2">
                  <c:v>148.46578947368423</c:v>
                </c:pt>
                <c:pt idx="3">
                  <c:v>148.94248366013073</c:v>
                </c:pt>
                <c:pt idx="4">
                  <c:v>152.20954907161806</c:v>
                </c:pt>
                <c:pt idx="5">
                  <c:v>145.72193211488252</c:v>
                </c:pt>
                <c:pt idx="6">
                  <c:v>147.79473684210527</c:v>
                </c:pt>
                <c:pt idx="7">
                  <c:v>155.1145038167939</c:v>
                </c:pt>
                <c:pt idx="8">
                  <c:v>191.49438202247194</c:v>
                </c:pt>
                <c:pt idx="9">
                  <c:v>161.83838383838381</c:v>
                </c:pt>
                <c:pt idx="10">
                  <c:v>163.87111622554659</c:v>
                </c:pt>
                <c:pt idx="11">
                  <c:v>139.3170731707317</c:v>
                </c:pt>
                <c:pt idx="12">
                  <c:v>152.27397260273972</c:v>
                </c:pt>
                <c:pt idx="13">
                  <c:v>163.20941883767537</c:v>
                </c:pt>
                <c:pt idx="14">
                  <c:v>153.57603222557907</c:v>
                </c:pt>
                <c:pt idx="15">
                  <c:v>148.98817733990151</c:v>
                </c:pt>
                <c:pt idx="16">
                  <c:v>148.95740365111564</c:v>
                </c:pt>
                <c:pt idx="17">
                  <c:v>141.74337221633084</c:v>
                </c:pt>
                <c:pt idx="18">
                  <c:v>142.70500000000001</c:v>
                </c:pt>
                <c:pt idx="19">
                  <c:v>156.26761904761904</c:v>
                </c:pt>
              </c:numCache>
            </c:numRef>
          </c:val>
          <c:extLst>
            <c:ext xmlns:c16="http://schemas.microsoft.com/office/drawing/2014/chart" uri="{C3380CC4-5D6E-409C-BE32-E72D297353CC}">
              <c16:uniqueId val="{00000000-2907-474F-8BA5-3043938A5EF3}"/>
            </c:ext>
          </c:extLst>
        </c:ser>
        <c:ser>
          <c:idx val="1"/>
          <c:order val="1"/>
          <c:tx>
            <c:strRef>
              <c:f>'2. Trade in Goods'!$A$139</c:f>
              <c:strCache>
                <c:ptCount val="1"/>
                <c:pt idx="0">
                  <c:v>Total goods imports from EU</c:v>
                </c:pt>
              </c:strCache>
            </c:strRef>
          </c:tx>
          <c:spPr>
            <a:solidFill>
              <a:srgbClr val="002060"/>
            </a:solidFill>
            <a:ln>
              <a:noFill/>
            </a:ln>
            <a:effectLst/>
          </c:spPr>
          <c:invertIfNegative val="0"/>
          <c:cat>
            <c:strRef>
              <c:f>'2.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'2. Trade in Goods'!$B$139:$U$139</c:f>
              <c:numCache>
                <c:formatCode>0.00</c:formatCode>
                <c:ptCount val="20"/>
                <c:pt idx="0">
                  <c:v>131.91510611735333</c:v>
                </c:pt>
                <c:pt idx="1">
                  <c:v>138.47236180904525</c:v>
                </c:pt>
                <c:pt idx="2">
                  <c:v>144.62668298653608</c:v>
                </c:pt>
                <c:pt idx="3">
                  <c:v>156.85049019607843</c:v>
                </c:pt>
                <c:pt idx="4">
                  <c:v>175.32408575031528</c:v>
                </c:pt>
                <c:pt idx="5">
                  <c:v>175.56423173803526</c:v>
                </c:pt>
                <c:pt idx="6">
                  <c:v>183.9808429118774</c:v>
                </c:pt>
                <c:pt idx="7">
                  <c:v>196.89259259259259</c:v>
                </c:pt>
                <c:pt idx="8">
                  <c:v>223.36341756919376</c:v>
                </c:pt>
                <c:pt idx="9">
                  <c:v>204.17224880382776</c:v>
                </c:pt>
                <c:pt idx="10">
                  <c:v>194.66773162939296</c:v>
                </c:pt>
                <c:pt idx="11">
                  <c:v>172.47181628392485</c:v>
                </c:pt>
                <c:pt idx="12">
                  <c:v>189.59879032258064</c:v>
                </c:pt>
                <c:pt idx="13">
                  <c:v>192.06880301602263</c:v>
                </c:pt>
                <c:pt idx="14">
                  <c:v>198.30769230769232</c:v>
                </c:pt>
                <c:pt idx="15">
                  <c:v>205.78927563499531</c:v>
                </c:pt>
                <c:pt idx="16">
                  <c:v>220.02257114818448</c:v>
                </c:pt>
                <c:pt idx="17">
                  <c:v>229.71041666666667</c:v>
                </c:pt>
                <c:pt idx="18">
                  <c:v>237.06700000000001</c:v>
                </c:pt>
                <c:pt idx="19">
                  <c:v>245.54743833017079</c:v>
                </c:pt>
              </c:numCache>
            </c:numRef>
          </c:val>
          <c:extLst>
            <c:ext xmlns:c16="http://schemas.microsoft.com/office/drawing/2014/chart" uri="{C3380CC4-5D6E-409C-BE32-E72D297353CC}">
              <c16:uniqueId val="{00000001-2907-474F-8BA5-3043938A5EF3}"/>
            </c:ext>
          </c:extLst>
        </c:ser>
        <c:ser>
          <c:idx val="2"/>
          <c:order val="2"/>
          <c:tx>
            <c:strRef>
              <c:f>'2. Trade in Goods'!$A$140</c:f>
              <c:strCache>
                <c:ptCount val="1"/>
                <c:pt idx="0">
                  <c:v> Balance </c:v>
                </c:pt>
              </c:strCache>
            </c:strRef>
          </c:tx>
          <c:spPr>
            <a:solidFill>
              <a:schemeClr val="accent3"/>
            </a:solidFill>
            <a:ln>
              <a:solidFill>
                <a:schemeClr val="tx1">
                  <a:lumMod val="75000"/>
                  <a:lumOff val="25000"/>
                </a:schemeClr>
              </a:solidFill>
            </a:ln>
            <a:effectLst/>
          </c:spPr>
          <c:invertIfNegative val="0"/>
          <c:cat>
            <c:strRef>
              <c:f>'2.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'2. Trade in Goods'!$B$140:$U$140</c:f>
              <c:numCache>
                <c:formatCode>0.00</c:formatCode>
                <c:ptCount val="20"/>
                <c:pt idx="0">
                  <c:v>3.5530941532826432</c:v>
                </c:pt>
                <c:pt idx="1">
                  <c:v>-0.53166100041991626</c:v>
                </c:pt>
                <c:pt idx="2">
                  <c:v>3.8391064871481433</c:v>
                </c:pt>
                <c:pt idx="3">
                  <c:v>-7.9080065359476919</c:v>
                </c:pt>
                <c:pt idx="4">
                  <c:v>-23.11453667869722</c:v>
                </c:pt>
                <c:pt idx="5">
                  <c:v>-29.842299623152741</c:v>
                </c:pt>
                <c:pt idx="6">
                  <c:v>-36.186106069772137</c:v>
                </c:pt>
                <c:pt idx="7">
                  <c:v>-41.778088775798693</c:v>
                </c:pt>
                <c:pt idx="8">
                  <c:v>-31.869035546721818</c:v>
                </c:pt>
                <c:pt idx="9">
                  <c:v>-42.333864965443951</c:v>
                </c:pt>
                <c:pt idx="10">
                  <c:v>-30.796615403846374</c:v>
                </c:pt>
                <c:pt idx="11">
                  <c:v>-33.154743113193149</c:v>
                </c:pt>
                <c:pt idx="12">
                  <c:v>-37.324817719840922</c:v>
                </c:pt>
                <c:pt idx="13">
                  <c:v>-28.859384178347256</c:v>
                </c:pt>
                <c:pt idx="14">
                  <c:v>-44.731660082113251</c:v>
                </c:pt>
                <c:pt idx="15">
                  <c:v>-56.801098295093794</c:v>
                </c:pt>
                <c:pt idx="16">
                  <c:v>-71.065167497068842</c:v>
                </c:pt>
                <c:pt idx="17">
                  <c:v>-87.967044450335834</c:v>
                </c:pt>
                <c:pt idx="18">
                  <c:v>-94.361999999999995</c:v>
                </c:pt>
                <c:pt idx="19" formatCode="_-[$£-809]* #,##0.00_-;\-[$£-809]* #,##0.00_-;_-[$£-809]* &quot;-&quot;??_-;_-@_-">
                  <c:v>-89.279819282551756</c:v>
                </c:pt>
              </c:numCache>
            </c:numRef>
          </c:val>
          <c:extLst>
            <c:ext xmlns:c16="http://schemas.microsoft.com/office/drawing/2014/chart" uri="{C3380CC4-5D6E-409C-BE32-E72D297353CC}">
              <c16:uniqueId val="{00000002-2907-474F-8BA5-3043938A5EF3}"/>
            </c:ext>
          </c:extLst>
        </c:ser>
        <c:dLbls>
          <c:showLegendKey val="0"/>
          <c:showVal val="0"/>
          <c:showCatName val="0"/>
          <c:showSerName val="0"/>
          <c:showPercent val="0"/>
          <c:showBubbleSize val="0"/>
        </c:dLbls>
        <c:gapWidth val="219"/>
        <c:overlap val="-27"/>
        <c:axId val="516891728"/>
        <c:axId val="516890416"/>
      </c:barChart>
      <c:catAx>
        <c:axId val="51689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crossAx val="516890416"/>
        <c:crosses val="autoZero"/>
        <c:auto val="1"/>
        <c:lblAlgn val="ctr"/>
        <c:lblOffset val="1000"/>
        <c:noMultiLvlLbl val="0"/>
      </c:catAx>
      <c:valAx>
        <c:axId val="516890416"/>
        <c:scaling>
          <c:orientation val="minMax"/>
          <c:max val="25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AU" b="1"/>
                  <a:t>£ billion</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689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US" b="1">
                <a:solidFill>
                  <a:schemeClr val="tx1">
                    <a:lumMod val="75000"/>
                    <a:lumOff val="25000"/>
                  </a:schemeClr>
                </a:solidFill>
              </a:rPr>
              <a:t>EU's Share of UK Trade: 1999 - 2018</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'1. All Trade'!$A$140</c:f>
              <c:strCache>
                <c:ptCount val="1"/>
                <c:pt idx="0">
                  <c:v>Goods Exports to EU</c:v>
                </c:pt>
              </c:strCache>
            </c:strRef>
          </c:tx>
          <c:spPr>
            <a:ln w="28575" cap="rnd">
              <a:solidFill>
                <a:srgbClr val="002060"/>
              </a:solidFill>
              <a:round/>
            </a:ln>
            <a:effectLst/>
          </c:spPr>
          <c:marker>
            <c:symbol val="none"/>
          </c:marker>
          <c:cat>
            <c:strRef>
              <c:f>'1. All Trade'!$B$139:$U$139</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'1. All Trade'!$B$140:$U$140</c:f>
              <c:numCache>
                <c:formatCode>0.0%</c:formatCode>
                <c:ptCount val="20"/>
                <c:pt idx="0">
                  <c:v>0.61002240976493594</c:v>
                </c:pt>
                <c:pt idx="1">
                  <c:v>0.59713166807790008</c:v>
                </c:pt>
                <c:pt idx="2">
                  <c:v>0.60116707908385347</c:v>
                </c:pt>
                <c:pt idx="3">
                  <c:v>0.61385979738764862</c:v>
                </c:pt>
                <c:pt idx="4">
                  <c:v>0.59155564034892472</c:v>
                </c:pt>
                <c:pt idx="5">
                  <c:v>0.58589662672849518</c:v>
                </c:pt>
                <c:pt idx="6">
                  <c:v>0.57304812532607619</c:v>
                </c:pt>
                <c:pt idx="7">
                  <c:v>0.62668584199151001</c:v>
                </c:pt>
                <c:pt idx="8">
                  <c:v>0.57600977872049752</c:v>
                </c:pt>
                <c:pt idx="9">
                  <c:v>0.56451504207976722</c:v>
                </c:pt>
                <c:pt idx="10">
                  <c:v>0.55269963582625214</c:v>
                </c:pt>
                <c:pt idx="11">
                  <c:v>0.54115347311421258</c:v>
                </c:pt>
                <c:pt idx="12">
                  <c:v>0.53614501454885399</c:v>
                </c:pt>
                <c:pt idx="13">
                  <c:v>0.50937579328496796</c:v>
                </c:pt>
                <c:pt idx="14">
                  <c:v>0.50342221778354812</c:v>
                </c:pt>
                <c:pt idx="15">
                  <c:v>0.50107124824301652</c:v>
                </c:pt>
                <c:pt idx="16">
                  <c:v>0.46613101216382102</c:v>
                </c:pt>
                <c:pt idx="17">
                  <c:v>0.47715775078325368</c:v>
                </c:pt>
                <c:pt idx="18">
                  <c:v>0.48438768491375367</c:v>
                </c:pt>
                <c:pt idx="19">
                  <c:v>0.49111794918594276</c:v>
                </c:pt>
              </c:numCache>
            </c:numRef>
          </c:val>
          <c:smooth val="0"/>
          <c:extLst>
            <c:ext xmlns:c16="http://schemas.microsoft.com/office/drawing/2014/chart" uri="{C3380CC4-5D6E-409C-BE32-E72D297353CC}">
              <c16:uniqueId val="{00000000-EDBA-4F44-BF2A-5225B6264CC4}"/>
            </c:ext>
          </c:extLst>
        </c:ser>
        <c:ser>
          <c:idx val="1"/>
          <c:order val="1"/>
          <c:tx>
            <c:strRef>
              <c:f>'1. All Trade'!$A$141</c:f>
              <c:strCache>
                <c:ptCount val="1"/>
                <c:pt idx="0">
                  <c:v>Goods Imports from EU</c:v>
                </c:pt>
              </c:strCache>
            </c:strRef>
          </c:tx>
          <c:spPr>
            <a:ln w="28575" cap="rnd">
              <a:solidFill>
                <a:srgbClr val="800000"/>
              </a:solidFill>
              <a:round/>
            </a:ln>
            <a:effectLst/>
          </c:spPr>
          <c:marker>
            <c:symbol val="none"/>
          </c:marker>
          <c:cat>
            <c:strRef>
              <c:f>'1. All Trade'!$B$139:$U$139</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'1. All Trade'!$B$141:$U$141</c:f>
              <c:numCache>
                <c:formatCode>0.0%</c:formatCode>
                <c:ptCount val="20"/>
                <c:pt idx="0">
                  <c:v>0.56181699559615073</c:v>
                </c:pt>
                <c:pt idx="1">
                  <c:v>0.52912753961963366</c:v>
                </c:pt>
                <c:pt idx="2">
                  <c:v>0.54915303688194006</c:v>
                </c:pt>
                <c:pt idx="3">
                  <c:v>0.58777373805698829</c:v>
                </c:pt>
                <c:pt idx="4">
                  <c:v>0.58175580929487181</c:v>
                </c:pt>
                <c:pt idx="5">
                  <c:v>0.56997875295262734</c:v>
                </c:pt>
                <c:pt idx="6">
                  <c:v>0.56496356570748418</c:v>
                </c:pt>
                <c:pt idx="7">
                  <c:v>0.5752721164336011</c:v>
                </c:pt>
                <c:pt idx="8">
                  <c:v>0.54864548645486455</c:v>
                </c:pt>
                <c:pt idx="9">
                  <c:v>0.53149396812658645</c:v>
                </c:pt>
                <c:pt idx="10">
                  <c:v>0.52844381758345094</c:v>
                </c:pt>
                <c:pt idx="11">
                  <c:v>0.51863085997281133</c:v>
                </c:pt>
                <c:pt idx="12">
                  <c:v>0.51180785951623309</c:v>
                </c:pt>
                <c:pt idx="13">
                  <c:v>0.5141932687856432</c:v>
                </c:pt>
                <c:pt idx="14">
                  <c:v>0.52161285707472937</c:v>
                </c:pt>
                <c:pt idx="15">
                  <c:v>0.54000486527757374</c:v>
                </c:pt>
                <c:pt idx="16">
                  <c:v>0.54508826830003798</c:v>
                </c:pt>
                <c:pt idx="17">
                  <c:v>0.54911575655799405</c:v>
                </c:pt>
                <c:pt idx="18">
                  <c:v>0.5439704565613086</c:v>
                </c:pt>
                <c:pt idx="19">
                  <c:v>0.54356268312245259</c:v>
                </c:pt>
              </c:numCache>
            </c:numRef>
          </c:val>
          <c:smooth val="0"/>
          <c:extLst>
            <c:ext xmlns:c16="http://schemas.microsoft.com/office/drawing/2014/chart" uri="{C3380CC4-5D6E-409C-BE32-E72D297353CC}">
              <c16:uniqueId val="{00000001-EDBA-4F44-BF2A-5225B6264CC4}"/>
            </c:ext>
          </c:extLst>
        </c:ser>
        <c:ser>
          <c:idx val="2"/>
          <c:order val="2"/>
          <c:tx>
            <c:strRef>
              <c:f>'1. All Trade'!$A$142</c:f>
              <c:strCache>
                <c:ptCount val="1"/>
                <c:pt idx="0">
                  <c:v>Services Exports to EU</c:v>
                </c:pt>
              </c:strCache>
            </c:strRef>
          </c:tx>
          <c:spPr>
            <a:ln w="28575" cap="rnd">
              <a:solidFill>
                <a:srgbClr val="062B03"/>
              </a:solidFill>
              <a:round/>
            </a:ln>
            <a:effectLst/>
          </c:spPr>
          <c:marker>
            <c:symbol val="none"/>
          </c:marker>
          <c:cat>
            <c:strRef>
              <c:f>'1. All Trade'!$B$139:$U$139</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'1. All Trade'!$B$142:$U$142</c:f>
              <c:numCache>
                <c:formatCode>0.0%</c:formatCode>
                <c:ptCount val="20"/>
                <c:pt idx="0">
                  <c:v>0.40517748578152579</c:v>
                </c:pt>
                <c:pt idx="1">
                  <c:v>0.40936282777784516</c:v>
                </c:pt>
                <c:pt idx="2">
                  <c:v>0.41768611195362787</c:v>
                </c:pt>
                <c:pt idx="3">
                  <c:v>0.40952899362812589</c:v>
                </c:pt>
                <c:pt idx="4">
                  <c:v>0.41030610499914494</c:v>
                </c:pt>
                <c:pt idx="5">
                  <c:v>0.40510377855963486</c:v>
                </c:pt>
                <c:pt idx="6">
                  <c:v>0.4217891246277134</c:v>
                </c:pt>
                <c:pt idx="7">
                  <c:v>0.40817812497873468</c:v>
                </c:pt>
                <c:pt idx="8">
                  <c:v>0.41212354876221152</c:v>
                </c:pt>
                <c:pt idx="9">
                  <c:v>0.41110027151235906</c:v>
                </c:pt>
                <c:pt idx="10">
                  <c:v>0.40365291574818929</c:v>
                </c:pt>
                <c:pt idx="11">
                  <c:v>0.41085809497361836</c:v>
                </c:pt>
                <c:pt idx="12">
                  <c:v>0.40901794241358991</c:v>
                </c:pt>
                <c:pt idx="13">
                  <c:v>0.4037710490177937</c:v>
                </c:pt>
                <c:pt idx="14">
                  <c:v>0.36277427219274344</c:v>
                </c:pt>
                <c:pt idx="15">
                  <c:v>0.39886695777723002</c:v>
                </c:pt>
                <c:pt idx="16">
                  <c:v>0.39272002679744733</c:v>
                </c:pt>
                <c:pt idx="17">
                  <c:v>0.37900173718823676</c:v>
                </c:pt>
                <c:pt idx="18">
                  <c:v>0.41199067431850789</c:v>
                </c:pt>
                <c:pt idx="19">
                  <c:v>0.41179417877217184</c:v>
                </c:pt>
              </c:numCache>
            </c:numRef>
          </c:val>
          <c:smooth val="0"/>
          <c:extLst>
            <c:ext xmlns:c16="http://schemas.microsoft.com/office/drawing/2014/chart" uri="{C3380CC4-5D6E-409C-BE32-E72D297353CC}">
              <c16:uniqueId val="{00000002-EDBA-4F44-BF2A-5225B6264CC4}"/>
            </c:ext>
          </c:extLst>
        </c:ser>
        <c:ser>
          <c:idx val="3"/>
          <c:order val="3"/>
          <c:tx>
            <c:strRef>
              <c:f>'1. All Trade'!$A$143</c:f>
              <c:strCache>
                <c:ptCount val="1"/>
                <c:pt idx="0">
                  <c:v>Services Imports from EU</c:v>
                </c:pt>
              </c:strCache>
            </c:strRef>
          </c:tx>
          <c:spPr>
            <a:ln w="28575" cap="rnd">
              <a:solidFill>
                <a:schemeClr val="accent4"/>
              </a:solidFill>
              <a:round/>
            </a:ln>
            <a:effectLst/>
          </c:spPr>
          <c:marker>
            <c:symbol val="none"/>
          </c:marker>
          <c:cat>
            <c:strRef>
              <c:f>'1. All Trade'!$B$139:$U$139</c:f>
              <c:str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strCache>
            </c:strRef>
          </c:cat>
          <c:val>
            <c:numRef>
              <c:f>'1. All Trade'!$B$143:$U$143</c:f>
              <c:numCache>
                <c:formatCode>0.0%</c:formatCode>
                <c:ptCount val="20"/>
                <c:pt idx="0">
                  <c:v>0.55575691099559665</c:v>
                </c:pt>
                <c:pt idx="1">
                  <c:v>0.55249116787578334</c:v>
                </c:pt>
                <c:pt idx="2">
                  <c:v>0.56213759382962603</c:v>
                </c:pt>
                <c:pt idx="3">
                  <c:v>0.56480225331731204</c:v>
                </c:pt>
                <c:pt idx="4">
                  <c:v>0.56784396540473847</c:v>
                </c:pt>
                <c:pt idx="5">
                  <c:v>0.55845332910374212</c:v>
                </c:pt>
                <c:pt idx="6">
                  <c:v>0.5553896592048112</c:v>
                </c:pt>
                <c:pt idx="7">
                  <c:v>0.54475656336121459</c:v>
                </c:pt>
                <c:pt idx="8">
                  <c:v>0.53046705269145056</c:v>
                </c:pt>
                <c:pt idx="9">
                  <c:v>0.51894123154176774</c:v>
                </c:pt>
                <c:pt idx="10">
                  <c:v>0.5050690461015509</c:v>
                </c:pt>
                <c:pt idx="11">
                  <c:v>0.4909486364396855</c:v>
                </c:pt>
                <c:pt idx="12">
                  <c:v>0.49351035862502274</c:v>
                </c:pt>
                <c:pt idx="13">
                  <c:v>0.50406504065040647</c:v>
                </c:pt>
                <c:pt idx="14">
                  <c:v>0.49192083014221133</c:v>
                </c:pt>
                <c:pt idx="15">
                  <c:v>0.49387149428698623</c:v>
                </c:pt>
                <c:pt idx="16">
                  <c:v>0.48332066013292779</c:v>
                </c:pt>
                <c:pt idx="17">
                  <c:v>0.49956124337861813</c:v>
                </c:pt>
                <c:pt idx="18">
                  <c:v>0.49190092819466741</c:v>
                </c:pt>
                <c:pt idx="19">
                  <c:v>0.49523220657223738</c:v>
                </c:pt>
              </c:numCache>
            </c:numRef>
          </c:val>
          <c:smooth val="0"/>
          <c:extLst>
            <c:ext xmlns:c16="http://schemas.microsoft.com/office/drawing/2014/chart" uri="{C3380CC4-5D6E-409C-BE32-E72D297353CC}">
              <c16:uniqueId val="{00000003-EDBA-4F44-BF2A-5225B6264CC4}"/>
            </c:ext>
          </c:extLst>
        </c:ser>
        <c:dLbls>
          <c:showLegendKey val="0"/>
          <c:showVal val="0"/>
          <c:showCatName val="0"/>
          <c:showSerName val="0"/>
          <c:showPercent val="0"/>
          <c:showBubbleSize val="0"/>
        </c:dLbls>
        <c:smooth val="0"/>
        <c:axId val="572660192"/>
        <c:axId val="572655928"/>
      </c:lineChart>
      <c:catAx>
        <c:axId val="57266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572655928"/>
        <c:crosses val="autoZero"/>
        <c:auto val="1"/>
        <c:lblAlgn val="ctr"/>
        <c:lblOffset val="100"/>
        <c:noMultiLvlLbl val="0"/>
      </c:catAx>
      <c:valAx>
        <c:axId val="572655928"/>
        <c:scaling>
          <c:orientation val="minMax"/>
          <c:min val="0.350000000000000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72660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3" Type="http://schemas.openxmlformats.org/officeDocument/2006/relationships/chart" Target="../charts/chart14.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 Type="http://schemas.openxmlformats.org/officeDocument/2006/relationships/chart" Target="../charts/chart13.xml"/><Relationship Id="rId16" Type="http://schemas.openxmlformats.org/officeDocument/2006/relationships/chart" Target="../charts/chart27.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5" Type="http://schemas.openxmlformats.org/officeDocument/2006/relationships/chart" Target="../charts/chart2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36.xml"/><Relationship Id="rId3" Type="http://schemas.openxmlformats.org/officeDocument/2006/relationships/chart" Target="../charts/chart31.xml"/><Relationship Id="rId7" Type="http://schemas.openxmlformats.org/officeDocument/2006/relationships/chart" Target="../charts/chart35.xml"/><Relationship Id="rId12" Type="http://schemas.openxmlformats.org/officeDocument/2006/relationships/chart" Target="../charts/chart40.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11" Type="http://schemas.openxmlformats.org/officeDocument/2006/relationships/chart" Target="../charts/chart39.xml"/><Relationship Id="rId5" Type="http://schemas.openxmlformats.org/officeDocument/2006/relationships/chart" Target="../charts/chart33.xml"/><Relationship Id="rId10" Type="http://schemas.openxmlformats.org/officeDocument/2006/relationships/chart" Target="../charts/chart38.xml"/><Relationship Id="rId4" Type="http://schemas.openxmlformats.org/officeDocument/2006/relationships/chart" Target="../charts/chart32.xml"/><Relationship Id="rId9"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4" Type="http://schemas.openxmlformats.org/officeDocument/2006/relationships/chart" Target="../charts/chart44.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52.xml"/><Relationship Id="rId3" Type="http://schemas.openxmlformats.org/officeDocument/2006/relationships/chart" Target="../charts/chart47.xml"/><Relationship Id="rId7" Type="http://schemas.openxmlformats.org/officeDocument/2006/relationships/chart" Target="../charts/chart51.xml"/><Relationship Id="rId2" Type="http://schemas.openxmlformats.org/officeDocument/2006/relationships/chart" Target="../charts/chart46.xml"/><Relationship Id="rId1" Type="http://schemas.openxmlformats.org/officeDocument/2006/relationships/chart" Target="../charts/chart45.xml"/><Relationship Id="rId6" Type="http://schemas.openxmlformats.org/officeDocument/2006/relationships/chart" Target="../charts/chart50.xml"/><Relationship Id="rId5" Type="http://schemas.openxmlformats.org/officeDocument/2006/relationships/chart" Target="../charts/chart49.xml"/><Relationship Id="rId4" Type="http://schemas.openxmlformats.org/officeDocument/2006/relationships/chart" Target="../charts/chart48.xml"/><Relationship Id="rId9" Type="http://schemas.openxmlformats.org/officeDocument/2006/relationships/chart" Target="../charts/chart53.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61.xml"/><Relationship Id="rId3" Type="http://schemas.openxmlformats.org/officeDocument/2006/relationships/chart" Target="../charts/chart56.xml"/><Relationship Id="rId7" Type="http://schemas.openxmlformats.org/officeDocument/2006/relationships/chart" Target="../charts/chart60.xml"/><Relationship Id="rId2" Type="http://schemas.openxmlformats.org/officeDocument/2006/relationships/chart" Target="../charts/chart55.xml"/><Relationship Id="rId1" Type="http://schemas.openxmlformats.org/officeDocument/2006/relationships/chart" Target="../charts/chart54.xml"/><Relationship Id="rId6" Type="http://schemas.openxmlformats.org/officeDocument/2006/relationships/chart" Target="../charts/chart59.xml"/><Relationship Id="rId5" Type="http://schemas.openxmlformats.org/officeDocument/2006/relationships/chart" Target="../charts/chart58.xml"/><Relationship Id="rId4" Type="http://schemas.openxmlformats.org/officeDocument/2006/relationships/chart" Target="../charts/chart57.xml"/><Relationship Id="rId9" Type="http://schemas.openxmlformats.org/officeDocument/2006/relationships/chart" Target="../charts/chart6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65.xml"/><Relationship Id="rId2" Type="http://schemas.openxmlformats.org/officeDocument/2006/relationships/chart" Target="../charts/chart64.xml"/><Relationship Id="rId1" Type="http://schemas.openxmlformats.org/officeDocument/2006/relationships/chart" Target="../charts/chart63.xml"/><Relationship Id="rId6" Type="http://schemas.openxmlformats.org/officeDocument/2006/relationships/chart" Target="../charts/chart68.xml"/><Relationship Id="rId5" Type="http://schemas.openxmlformats.org/officeDocument/2006/relationships/chart" Target="../charts/chart67.xml"/><Relationship Id="rId4" Type="http://schemas.openxmlformats.org/officeDocument/2006/relationships/chart" Target="../charts/chart66.xml"/></Relationships>
</file>

<file path=xl/drawings/_rels/drawing16.xml.rels><?xml version="1.0" encoding="UTF-8" standalone="yes"?>
<Relationships xmlns="http://schemas.openxmlformats.org/package/2006/relationships"><Relationship Id="rId8" Type="http://schemas.openxmlformats.org/officeDocument/2006/relationships/chart" Target="../charts/chart76.xml"/><Relationship Id="rId3" Type="http://schemas.openxmlformats.org/officeDocument/2006/relationships/chart" Target="../charts/chart71.xml"/><Relationship Id="rId7" Type="http://schemas.openxmlformats.org/officeDocument/2006/relationships/chart" Target="../charts/chart75.xml"/><Relationship Id="rId2" Type="http://schemas.openxmlformats.org/officeDocument/2006/relationships/chart" Target="../charts/chart70.xml"/><Relationship Id="rId1" Type="http://schemas.openxmlformats.org/officeDocument/2006/relationships/chart" Target="../charts/chart69.xml"/><Relationship Id="rId6" Type="http://schemas.openxmlformats.org/officeDocument/2006/relationships/chart" Target="../charts/chart74.xml"/><Relationship Id="rId5" Type="http://schemas.openxmlformats.org/officeDocument/2006/relationships/chart" Target="../charts/chart73.xml"/><Relationship Id="rId10" Type="http://schemas.openxmlformats.org/officeDocument/2006/relationships/chart" Target="../charts/chart78.xml"/><Relationship Id="rId4" Type="http://schemas.openxmlformats.org/officeDocument/2006/relationships/chart" Target="../charts/chart72.xml"/><Relationship Id="rId9" Type="http://schemas.openxmlformats.org/officeDocument/2006/relationships/chart" Target="../charts/chart7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80.xml"/></Relationships>
</file>

<file path=xl/drawings/drawing1.xml><?xml version="1.0" encoding="utf-8"?>
<xdr:wsDr xmlns:xdr="http://schemas.openxmlformats.org/drawingml/2006/spreadsheetDrawing" xmlns:a="http://schemas.openxmlformats.org/drawingml/2006/main">
  <xdr:twoCellAnchor>
    <xdr:from>
      <xdr:col>0</xdr:col>
      <xdr:colOff>177484</xdr:colOff>
      <xdr:row>12</xdr:row>
      <xdr:rowOff>9316</xdr:rowOff>
    </xdr:from>
    <xdr:to>
      <xdr:col>3</xdr:col>
      <xdr:colOff>9844</xdr:colOff>
      <xdr:row>25</xdr:row>
      <xdr:rowOff>71173</xdr:rowOff>
    </xdr:to>
    <xdr:graphicFrame macro="">
      <xdr:nvGraphicFramePr>
        <xdr:cNvPr id="21" name="Chart 20">
          <a:extLst>
            <a:ext uri="{FF2B5EF4-FFF2-40B4-BE49-F238E27FC236}">
              <a16:creationId xmlns:a16="http://schemas.microsoft.com/office/drawing/2014/main" id="{220B82E3-3AA8-46D6-9F2E-78590AF783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15241</xdr:colOff>
      <xdr:row>12</xdr:row>
      <xdr:rowOff>3387</xdr:rowOff>
    </xdr:from>
    <xdr:to>
      <xdr:col>10</xdr:col>
      <xdr:colOff>1</xdr:colOff>
      <xdr:row>25</xdr:row>
      <xdr:rowOff>56726</xdr:rowOff>
    </xdr:to>
    <xdr:graphicFrame macro="">
      <xdr:nvGraphicFramePr>
        <xdr:cNvPr id="22" name="Chart 21">
          <a:extLst>
            <a:ext uri="{FF2B5EF4-FFF2-40B4-BE49-F238E27FC236}">
              <a16:creationId xmlns:a16="http://schemas.microsoft.com/office/drawing/2014/main" id="{2E7CEFF9-7A9C-4FCD-8C24-872090493D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1103206</xdr:colOff>
      <xdr:row>41</xdr:row>
      <xdr:rowOff>0</xdr:rowOff>
    </xdr:from>
    <xdr:to>
      <xdr:col>10</xdr:col>
      <xdr:colOff>0</xdr:colOff>
      <xdr:row>46</xdr:row>
      <xdr:rowOff>2085975</xdr:rowOff>
    </xdr:to>
    <xdr:graphicFrame macro="">
      <xdr:nvGraphicFramePr>
        <xdr:cNvPr id="3" name="Chart 2">
          <a:extLst>
            <a:ext uri="{FF2B5EF4-FFF2-40B4-BE49-F238E27FC236}">
              <a16:creationId xmlns:a16="http://schemas.microsoft.com/office/drawing/2014/main" id="{9C5CAB1B-367E-48CE-9D37-41C98866B5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48</xdr:row>
      <xdr:rowOff>7620</xdr:rowOff>
    </xdr:from>
    <xdr:to>
      <xdr:col>9</xdr:col>
      <xdr:colOff>556260</xdr:colOff>
      <xdr:row>55</xdr:row>
      <xdr:rowOff>15240</xdr:rowOff>
    </xdr:to>
    <xdr:graphicFrame macro="">
      <xdr:nvGraphicFramePr>
        <xdr:cNvPr id="23" name="Chart 22">
          <a:extLst>
            <a:ext uri="{FF2B5EF4-FFF2-40B4-BE49-F238E27FC236}">
              <a16:creationId xmlns:a16="http://schemas.microsoft.com/office/drawing/2014/main" id="{35133C44-D5A2-44D0-962D-06A14EC037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7620</xdr:colOff>
      <xdr:row>56</xdr:row>
      <xdr:rowOff>213360</xdr:rowOff>
    </xdr:from>
    <xdr:to>
      <xdr:col>9</xdr:col>
      <xdr:colOff>411480</xdr:colOff>
      <xdr:row>68</xdr:row>
      <xdr:rowOff>53340</xdr:rowOff>
    </xdr:to>
    <xdr:graphicFrame macro="">
      <xdr:nvGraphicFramePr>
        <xdr:cNvPr id="8" name="Chart 7">
          <a:extLst>
            <a:ext uri="{FF2B5EF4-FFF2-40B4-BE49-F238E27FC236}">
              <a16:creationId xmlns:a16="http://schemas.microsoft.com/office/drawing/2014/main" id="{4A338A64-B48C-4938-84FF-1A735AB25C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1111672</xdr:colOff>
      <xdr:row>69</xdr:row>
      <xdr:rowOff>10160</xdr:rowOff>
    </xdr:from>
    <xdr:to>
      <xdr:col>9</xdr:col>
      <xdr:colOff>419100</xdr:colOff>
      <xdr:row>80</xdr:row>
      <xdr:rowOff>7620</xdr:rowOff>
    </xdr:to>
    <xdr:graphicFrame macro="">
      <xdr:nvGraphicFramePr>
        <xdr:cNvPr id="9" name="Chart 8">
          <a:extLst>
            <a:ext uri="{FF2B5EF4-FFF2-40B4-BE49-F238E27FC236}">
              <a16:creationId xmlns:a16="http://schemas.microsoft.com/office/drawing/2014/main" id="{DCA29A9E-35AC-4A1D-9507-F8977F7696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92</xdr:row>
      <xdr:rowOff>185420</xdr:rowOff>
    </xdr:from>
    <xdr:to>
      <xdr:col>9</xdr:col>
      <xdr:colOff>434340</xdr:colOff>
      <xdr:row>103</xdr:row>
      <xdr:rowOff>1143000</xdr:rowOff>
    </xdr:to>
    <xdr:graphicFrame macro="">
      <xdr:nvGraphicFramePr>
        <xdr:cNvPr id="2" name="Chart 1">
          <a:extLst>
            <a:ext uri="{FF2B5EF4-FFF2-40B4-BE49-F238E27FC236}">
              <a16:creationId xmlns:a16="http://schemas.microsoft.com/office/drawing/2014/main" id="{C3455A30-A94B-4046-9F8E-CC3C6F7A80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3810</xdr:colOff>
      <xdr:row>27</xdr:row>
      <xdr:rowOff>5443</xdr:rowOff>
    </xdr:from>
    <xdr:to>
      <xdr:col>9</xdr:col>
      <xdr:colOff>593558</xdr:colOff>
      <xdr:row>39</xdr:row>
      <xdr:rowOff>0</xdr:rowOff>
    </xdr:to>
    <xdr:graphicFrame macro="">
      <xdr:nvGraphicFramePr>
        <xdr:cNvPr id="4" name="Chart 3">
          <a:extLst>
            <a:ext uri="{FF2B5EF4-FFF2-40B4-BE49-F238E27FC236}">
              <a16:creationId xmlns:a16="http://schemas.microsoft.com/office/drawing/2014/main" id="{151481C3-0016-4907-846A-DAC0E35005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1109133</xdr:colOff>
      <xdr:row>104</xdr:row>
      <xdr:rowOff>182034</xdr:rowOff>
    </xdr:from>
    <xdr:to>
      <xdr:col>11</xdr:col>
      <xdr:colOff>16933</xdr:colOff>
      <xdr:row>106</xdr:row>
      <xdr:rowOff>2878667</xdr:rowOff>
    </xdr:to>
    <xdr:graphicFrame macro="">
      <xdr:nvGraphicFramePr>
        <xdr:cNvPr id="6" name="Chart 5">
          <a:extLst>
            <a:ext uri="{FF2B5EF4-FFF2-40B4-BE49-F238E27FC236}">
              <a16:creationId xmlns:a16="http://schemas.microsoft.com/office/drawing/2014/main" id="{C7348E48-4A08-45E9-A2A1-5954BEFBC1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1100666</xdr:colOff>
      <xdr:row>108</xdr:row>
      <xdr:rowOff>8466</xdr:rowOff>
    </xdr:from>
    <xdr:to>
      <xdr:col>14</xdr:col>
      <xdr:colOff>135466</xdr:colOff>
      <xdr:row>120</xdr:row>
      <xdr:rowOff>268392</xdr:rowOff>
    </xdr:to>
    <xdr:graphicFrame macro="">
      <xdr:nvGraphicFramePr>
        <xdr:cNvPr id="5" name="Chart 4">
          <a:extLst>
            <a:ext uri="{FF2B5EF4-FFF2-40B4-BE49-F238E27FC236}">
              <a16:creationId xmlns:a16="http://schemas.microsoft.com/office/drawing/2014/main" id="{82C7F4F0-3589-4818-9E30-33114A5B1E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122</xdr:row>
      <xdr:rowOff>1</xdr:rowOff>
    </xdr:from>
    <xdr:to>
      <xdr:col>10</xdr:col>
      <xdr:colOff>340359</xdr:colOff>
      <xdr:row>131</xdr:row>
      <xdr:rowOff>245534</xdr:rowOff>
    </xdr:to>
    <xdr:graphicFrame macro="">
      <xdr:nvGraphicFramePr>
        <xdr:cNvPr id="15" name="Chart 14">
          <a:extLst>
            <a:ext uri="{FF2B5EF4-FFF2-40B4-BE49-F238E27FC236}">
              <a16:creationId xmlns:a16="http://schemas.microsoft.com/office/drawing/2014/main" id="{2427700F-7280-4E43-BA02-A4A6C1ECAD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403860</xdr:colOff>
      <xdr:row>53</xdr:row>
      <xdr:rowOff>0</xdr:rowOff>
    </xdr:from>
    <xdr:to>
      <xdr:col>31</xdr:col>
      <xdr:colOff>106680</xdr:colOff>
      <xdr:row>73</xdr:row>
      <xdr:rowOff>198120</xdr:rowOff>
    </xdr:to>
    <xdr:graphicFrame macro="">
      <xdr:nvGraphicFramePr>
        <xdr:cNvPr id="12" name="Chart 11">
          <a:extLst>
            <a:ext uri="{FF2B5EF4-FFF2-40B4-BE49-F238E27FC236}">
              <a16:creationId xmlns:a16="http://schemas.microsoft.com/office/drawing/2014/main" id="{1C3937FD-D0CE-44B4-B620-83FB3B24C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2926</xdr:colOff>
      <xdr:row>71</xdr:row>
      <xdr:rowOff>183188</xdr:rowOff>
    </xdr:from>
    <xdr:to>
      <xdr:col>10</xdr:col>
      <xdr:colOff>228601</xdr:colOff>
      <xdr:row>78</xdr:row>
      <xdr:rowOff>305858</xdr:rowOff>
    </xdr:to>
    <xdr:graphicFrame macro="">
      <xdr:nvGraphicFramePr>
        <xdr:cNvPr id="14" name="Chart 13">
          <a:extLst>
            <a:ext uri="{FF2B5EF4-FFF2-40B4-BE49-F238E27FC236}">
              <a16:creationId xmlns:a16="http://schemas.microsoft.com/office/drawing/2014/main" id="{8ABE0DCE-61C6-4D33-B0C1-66EEBB3987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93133</xdr:colOff>
      <xdr:row>98</xdr:row>
      <xdr:rowOff>55033</xdr:rowOff>
    </xdr:from>
    <xdr:to>
      <xdr:col>10</xdr:col>
      <xdr:colOff>118534</xdr:colOff>
      <xdr:row>112</xdr:row>
      <xdr:rowOff>50800</xdr:rowOff>
    </xdr:to>
    <xdr:graphicFrame macro="">
      <xdr:nvGraphicFramePr>
        <xdr:cNvPr id="16" name="Chart 15">
          <a:extLst>
            <a:ext uri="{FF2B5EF4-FFF2-40B4-BE49-F238E27FC236}">
              <a16:creationId xmlns:a16="http://schemas.microsoft.com/office/drawing/2014/main" id="{CA8490E7-C953-42F4-99C0-F962839620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31557</xdr:colOff>
      <xdr:row>119</xdr:row>
      <xdr:rowOff>6602</xdr:rowOff>
    </xdr:from>
    <xdr:to>
      <xdr:col>6</xdr:col>
      <xdr:colOff>1515533</xdr:colOff>
      <xdr:row>133</xdr:row>
      <xdr:rowOff>135911</xdr:rowOff>
    </xdr:to>
    <xdr:graphicFrame macro="">
      <xdr:nvGraphicFramePr>
        <xdr:cNvPr id="20" name="Chart 19">
          <a:extLst>
            <a:ext uri="{FF2B5EF4-FFF2-40B4-BE49-F238E27FC236}">
              <a16:creationId xmlns:a16="http://schemas.microsoft.com/office/drawing/2014/main" id="{6DAC67B9-0102-4A7B-82F1-C42455EF8C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245534</xdr:colOff>
      <xdr:row>118</xdr:row>
      <xdr:rowOff>177800</xdr:rowOff>
    </xdr:from>
    <xdr:to>
      <xdr:col>18</xdr:col>
      <xdr:colOff>76202</xdr:colOff>
      <xdr:row>133</xdr:row>
      <xdr:rowOff>183189</xdr:rowOff>
    </xdr:to>
    <xdr:graphicFrame macro="">
      <xdr:nvGraphicFramePr>
        <xdr:cNvPr id="21" name="Chart 20">
          <a:extLst>
            <a:ext uri="{FF2B5EF4-FFF2-40B4-BE49-F238E27FC236}">
              <a16:creationId xmlns:a16="http://schemas.microsoft.com/office/drawing/2014/main" id="{ED60D5F1-010F-4931-AF95-BA5ED245FE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8468</xdr:colOff>
      <xdr:row>55</xdr:row>
      <xdr:rowOff>6926</xdr:rowOff>
    </xdr:from>
    <xdr:to>
      <xdr:col>9</xdr:col>
      <xdr:colOff>229294</xdr:colOff>
      <xdr:row>70</xdr:row>
      <xdr:rowOff>33866</xdr:rowOff>
    </xdr:to>
    <xdr:graphicFrame macro="">
      <xdr:nvGraphicFramePr>
        <xdr:cNvPr id="23" name="Chart 22">
          <a:extLst>
            <a:ext uri="{FF2B5EF4-FFF2-40B4-BE49-F238E27FC236}">
              <a16:creationId xmlns:a16="http://schemas.microsoft.com/office/drawing/2014/main" id="{2713FD4B-CB33-4D31-B356-B49AB04544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84665</xdr:colOff>
      <xdr:row>55</xdr:row>
      <xdr:rowOff>19049</xdr:rowOff>
    </xdr:from>
    <xdr:to>
      <xdr:col>2</xdr:col>
      <xdr:colOff>914399</xdr:colOff>
      <xdr:row>70</xdr:row>
      <xdr:rowOff>33866</xdr:rowOff>
    </xdr:to>
    <xdr:graphicFrame macro="">
      <xdr:nvGraphicFramePr>
        <xdr:cNvPr id="25" name="Chart 24">
          <a:extLst>
            <a:ext uri="{FF2B5EF4-FFF2-40B4-BE49-F238E27FC236}">
              <a16:creationId xmlns:a16="http://schemas.microsoft.com/office/drawing/2014/main" id="{C10154CC-59EC-4CAB-942F-FCBE6FAE91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872067</xdr:colOff>
      <xdr:row>82</xdr:row>
      <xdr:rowOff>12700</xdr:rowOff>
    </xdr:from>
    <xdr:to>
      <xdr:col>9</xdr:col>
      <xdr:colOff>262467</xdr:colOff>
      <xdr:row>88</xdr:row>
      <xdr:rowOff>25400</xdr:rowOff>
    </xdr:to>
    <xdr:graphicFrame macro="">
      <xdr:nvGraphicFramePr>
        <xdr:cNvPr id="2" name="Chart 1">
          <a:extLst>
            <a:ext uri="{FF2B5EF4-FFF2-40B4-BE49-F238E27FC236}">
              <a16:creationId xmlns:a16="http://schemas.microsoft.com/office/drawing/2014/main" id="{DD7D3352-E211-46ED-A3EC-D575491E43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237067</xdr:colOff>
      <xdr:row>156</xdr:row>
      <xdr:rowOff>156634</xdr:rowOff>
    </xdr:from>
    <xdr:to>
      <xdr:col>6</xdr:col>
      <xdr:colOff>8467</xdr:colOff>
      <xdr:row>171</xdr:row>
      <xdr:rowOff>105834</xdr:rowOff>
    </xdr:to>
    <xdr:graphicFrame macro="">
      <xdr:nvGraphicFramePr>
        <xdr:cNvPr id="3" name="Chart 2">
          <a:extLst>
            <a:ext uri="{FF2B5EF4-FFF2-40B4-BE49-F238E27FC236}">
              <a16:creationId xmlns:a16="http://schemas.microsoft.com/office/drawing/2014/main" id="{E5CD0E15-6E34-4320-8C86-CA1F882742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31</xdr:row>
      <xdr:rowOff>182034</xdr:rowOff>
    </xdr:from>
    <xdr:to>
      <xdr:col>8</xdr:col>
      <xdr:colOff>491067</xdr:colOff>
      <xdr:row>45</xdr:row>
      <xdr:rowOff>97368</xdr:rowOff>
    </xdr:to>
    <xdr:graphicFrame macro="">
      <xdr:nvGraphicFramePr>
        <xdr:cNvPr id="7" name="Chart 6">
          <a:extLst>
            <a:ext uri="{FF2B5EF4-FFF2-40B4-BE49-F238E27FC236}">
              <a16:creationId xmlns:a16="http://schemas.microsoft.com/office/drawing/2014/main" id="{9A3E663F-C8E2-4D69-B7CD-726FD221FA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xdr:row>
      <xdr:rowOff>1</xdr:rowOff>
    </xdr:from>
    <xdr:to>
      <xdr:col>25</xdr:col>
      <xdr:colOff>42333</xdr:colOff>
      <xdr:row>27</xdr:row>
      <xdr:rowOff>8467</xdr:rowOff>
    </xdr:to>
    <xdr:graphicFrame macro="">
      <xdr:nvGraphicFramePr>
        <xdr:cNvPr id="22" name="Chart 21">
          <a:extLst>
            <a:ext uri="{FF2B5EF4-FFF2-40B4-BE49-F238E27FC236}">
              <a16:creationId xmlns:a16="http://schemas.microsoft.com/office/drawing/2014/main" id="{BA5DEA59-D22A-4D44-8202-0C7C8C195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4234</xdr:colOff>
      <xdr:row>228</xdr:row>
      <xdr:rowOff>156633</xdr:rowOff>
    </xdr:from>
    <xdr:to>
      <xdr:col>8</xdr:col>
      <xdr:colOff>198967</xdr:colOff>
      <xdr:row>238</xdr:row>
      <xdr:rowOff>186267</xdr:rowOff>
    </xdr:to>
    <xdr:graphicFrame macro="">
      <xdr:nvGraphicFramePr>
        <xdr:cNvPr id="4" name="Chart 3">
          <a:extLst>
            <a:ext uri="{FF2B5EF4-FFF2-40B4-BE49-F238E27FC236}">
              <a16:creationId xmlns:a16="http://schemas.microsoft.com/office/drawing/2014/main" id="{3D36B5BE-41B2-4612-82F8-CFFE86C311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867834</xdr:colOff>
      <xdr:row>243</xdr:row>
      <xdr:rowOff>1</xdr:rowOff>
    </xdr:from>
    <xdr:to>
      <xdr:col>8</xdr:col>
      <xdr:colOff>0</xdr:colOff>
      <xdr:row>254</xdr:row>
      <xdr:rowOff>135468</xdr:rowOff>
    </xdr:to>
    <xdr:graphicFrame macro="">
      <xdr:nvGraphicFramePr>
        <xdr:cNvPr id="5" name="Chart 4">
          <a:extLst>
            <a:ext uri="{FF2B5EF4-FFF2-40B4-BE49-F238E27FC236}">
              <a16:creationId xmlns:a16="http://schemas.microsoft.com/office/drawing/2014/main" id="{60D5C3B8-9728-40C2-8559-A5A93AD968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238125</xdr:colOff>
      <xdr:row>9</xdr:row>
      <xdr:rowOff>1059</xdr:rowOff>
    </xdr:from>
    <xdr:to>
      <xdr:col>13</xdr:col>
      <xdr:colOff>224311</xdr:colOff>
      <xdr:row>29</xdr:row>
      <xdr:rowOff>152400</xdr:rowOff>
    </xdr:to>
    <xdr:grpSp>
      <xdr:nvGrpSpPr>
        <xdr:cNvPr id="38" name="Group 37">
          <a:extLst>
            <a:ext uri="{FF2B5EF4-FFF2-40B4-BE49-F238E27FC236}">
              <a16:creationId xmlns:a16="http://schemas.microsoft.com/office/drawing/2014/main" id="{384BAA9C-81E5-4C52-8F8F-8575EB8C22DA}"/>
            </a:ext>
          </a:extLst>
        </xdr:cNvPr>
        <xdr:cNvGrpSpPr/>
      </xdr:nvGrpSpPr>
      <xdr:grpSpPr>
        <a:xfrm>
          <a:off x="5851525" y="3675592"/>
          <a:ext cx="8952386" cy="3910541"/>
          <a:chOff x="5868264" y="3115734"/>
          <a:chExt cx="9257332" cy="3556000"/>
        </a:xfrm>
      </xdr:grpSpPr>
      <xdr:graphicFrame macro="">
        <xdr:nvGraphicFramePr>
          <xdr:cNvPr id="18" name="Chart 17">
            <a:extLst>
              <a:ext uri="{FF2B5EF4-FFF2-40B4-BE49-F238E27FC236}">
                <a16:creationId xmlns:a16="http://schemas.microsoft.com/office/drawing/2014/main" id="{469F7A10-B46F-4F3F-9F6E-78A694B57D9B}"/>
              </a:ext>
            </a:extLst>
          </xdr:cNvPr>
          <xdr:cNvGraphicFramePr>
            <a:graphicFrameLocks/>
          </xdr:cNvGraphicFramePr>
        </xdr:nvGraphicFramePr>
        <xdr:xfrm>
          <a:off x="5868264" y="3115734"/>
          <a:ext cx="9059892" cy="3556000"/>
        </xdr:xfrm>
        <a:graphic>
          <a:graphicData uri="http://schemas.openxmlformats.org/drawingml/2006/chart">
            <c:chart xmlns:c="http://schemas.openxmlformats.org/drawingml/2006/chart" xmlns:r="http://schemas.openxmlformats.org/officeDocument/2006/relationships" r:id="rId14"/>
          </a:graphicData>
        </a:graphic>
      </xdr:graphicFrame>
      <xdr:grpSp>
        <xdr:nvGrpSpPr>
          <xdr:cNvPr id="36" name="Group 35">
            <a:extLst>
              <a:ext uri="{FF2B5EF4-FFF2-40B4-BE49-F238E27FC236}">
                <a16:creationId xmlns:a16="http://schemas.microsoft.com/office/drawing/2014/main" id="{7BC5ED6D-4359-4BA5-99CC-3797E49ED1D8}"/>
              </a:ext>
            </a:extLst>
          </xdr:cNvPr>
          <xdr:cNvGrpSpPr/>
        </xdr:nvGrpSpPr>
        <xdr:grpSpPr>
          <a:xfrm>
            <a:off x="11497733" y="3234270"/>
            <a:ext cx="3627863" cy="2040464"/>
            <a:chOff x="11489267" y="3242737"/>
            <a:chExt cx="3627863" cy="2040464"/>
          </a:xfrm>
        </xdr:grpSpPr>
        <xdr:cxnSp macro="">
          <xdr:nvCxnSpPr>
            <xdr:cNvPr id="8" name="Connector: Elbow 7">
              <a:extLst>
                <a:ext uri="{FF2B5EF4-FFF2-40B4-BE49-F238E27FC236}">
                  <a16:creationId xmlns:a16="http://schemas.microsoft.com/office/drawing/2014/main" id="{A1BE4B31-3A9C-4904-A1B9-8285776526CF}"/>
                </a:ext>
              </a:extLst>
            </xdr:cNvPr>
            <xdr:cNvCxnSpPr/>
          </xdr:nvCxnSpPr>
          <xdr:spPr>
            <a:xfrm rot="16200000" flipH="1">
              <a:off x="12476765" y="4102104"/>
              <a:ext cx="2040464" cy="321730"/>
            </a:xfrm>
            <a:prstGeom prst="bentConnector3">
              <a:avLst/>
            </a:prstGeom>
            <a:ln w="28575">
              <a:prstDash val="sysDash"/>
            </a:ln>
          </xdr:spPr>
          <xdr:style>
            <a:lnRef idx="1">
              <a:schemeClr val="dk1"/>
            </a:lnRef>
            <a:fillRef idx="0">
              <a:schemeClr val="dk1"/>
            </a:fillRef>
            <a:effectRef idx="0">
              <a:schemeClr val="dk1"/>
            </a:effectRef>
            <a:fontRef idx="minor">
              <a:schemeClr val="tx1"/>
            </a:fontRef>
          </xdr:style>
        </xdr:cxnSp>
        <xdr:grpSp>
          <xdr:nvGrpSpPr>
            <xdr:cNvPr id="27" name="Group 26">
              <a:extLst>
                <a:ext uri="{FF2B5EF4-FFF2-40B4-BE49-F238E27FC236}">
                  <a16:creationId xmlns:a16="http://schemas.microsoft.com/office/drawing/2014/main" id="{1DE67070-F533-42F1-B7F1-CB3237AC65AD}"/>
                </a:ext>
              </a:extLst>
            </xdr:cNvPr>
            <xdr:cNvGrpSpPr/>
          </xdr:nvGrpSpPr>
          <xdr:grpSpPr>
            <a:xfrm>
              <a:off x="11489267" y="3344334"/>
              <a:ext cx="3627863" cy="314118"/>
              <a:chOff x="11463867" y="3302000"/>
              <a:chExt cx="3627863" cy="314118"/>
            </a:xfrm>
          </xdr:grpSpPr>
          <xdr:sp macro="" textlink="">
            <xdr:nvSpPr>
              <xdr:cNvPr id="13" name="TextBox 12">
                <a:extLst>
                  <a:ext uri="{FF2B5EF4-FFF2-40B4-BE49-F238E27FC236}">
                    <a16:creationId xmlns:a16="http://schemas.microsoft.com/office/drawing/2014/main" id="{7EA08B5B-5C0A-4279-8B82-9F75BE59DFDA}"/>
                  </a:ext>
                </a:extLst>
              </xdr:cNvPr>
              <xdr:cNvSpPr txBox="1"/>
            </xdr:nvSpPr>
            <xdr:spPr>
              <a:xfrm>
                <a:off x="11463867" y="3302000"/>
                <a:ext cx="1481667" cy="28786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tx1">
                        <a:lumMod val="75000"/>
                        <a:lumOff val="25000"/>
                      </a:schemeClr>
                    </a:solidFill>
                  </a:rPr>
                  <a:t>Manufactured</a:t>
                </a:r>
                <a:r>
                  <a:rPr lang="en-AU" sz="1100" b="1" baseline="0">
                    <a:solidFill>
                      <a:schemeClr val="tx1">
                        <a:lumMod val="75000"/>
                        <a:lumOff val="25000"/>
                      </a:schemeClr>
                    </a:solidFill>
                  </a:rPr>
                  <a:t> goods</a:t>
                </a:r>
                <a:endParaRPr lang="en-AU" sz="1100" b="1">
                  <a:solidFill>
                    <a:schemeClr val="tx1">
                      <a:lumMod val="75000"/>
                      <a:lumOff val="25000"/>
                    </a:schemeClr>
                  </a:solidFill>
                </a:endParaRPr>
              </a:p>
            </xdr:txBody>
          </xdr:sp>
          <xdr:sp macro="" textlink="">
            <xdr:nvSpPr>
              <xdr:cNvPr id="26" name="TextBox 25">
                <a:extLst>
                  <a:ext uri="{FF2B5EF4-FFF2-40B4-BE49-F238E27FC236}">
                    <a16:creationId xmlns:a16="http://schemas.microsoft.com/office/drawing/2014/main" id="{1D893917-7C90-4223-ACE9-23297AC08157}"/>
                  </a:ext>
                </a:extLst>
              </xdr:cNvPr>
              <xdr:cNvSpPr txBox="1"/>
            </xdr:nvSpPr>
            <xdr:spPr>
              <a:xfrm>
                <a:off x="13381464" y="3328252"/>
                <a:ext cx="1710266" cy="28786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tx1">
                        <a:lumMod val="75000"/>
                        <a:lumOff val="25000"/>
                      </a:schemeClr>
                    </a:solidFill>
                  </a:rPr>
                  <a:t>Non-manufactured</a:t>
                </a:r>
                <a:r>
                  <a:rPr lang="en-AU" sz="1100" b="1" baseline="0">
                    <a:solidFill>
                      <a:schemeClr val="tx1">
                        <a:lumMod val="75000"/>
                        <a:lumOff val="25000"/>
                      </a:schemeClr>
                    </a:solidFill>
                  </a:rPr>
                  <a:t> goods</a:t>
                </a:r>
                <a:endParaRPr lang="en-AU" sz="1100" b="1">
                  <a:solidFill>
                    <a:schemeClr val="tx1">
                      <a:lumMod val="75000"/>
                      <a:lumOff val="25000"/>
                    </a:schemeClr>
                  </a:solidFill>
                </a:endParaRPr>
              </a:p>
            </xdr:txBody>
          </xdr:sp>
        </xdr:grpSp>
      </xdr:grpSp>
    </xdr:grpSp>
    <xdr:clientData/>
  </xdr:twoCellAnchor>
  <xdr:twoCellAnchor>
    <xdr:from>
      <xdr:col>22</xdr:col>
      <xdr:colOff>0</xdr:colOff>
      <xdr:row>119</xdr:row>
      <xdr:rowOff>0</xdr:rowOff>
    </xdr:from>
    <xdr:to>
      <xdr:col>31</xdr:col>
      <xdr:colOff>440267</xdr:colOff>
      <xdr:row>133</xdr:row>
      <xdr:rowOff>0</xdr:rowOff>
    </xdr:to>
    <xdr:graphicFrame macro="">
      <xdr:nvGraphicFramePr>
        <xdr:cNvPr id="28" name="Chart 27">
          <a:extLst>
            <a:ext uri="{FF2B5EF4-FFF2-40B4-BE49-F238E27FC236}">
              <a16:creationId xmlns:a16="http://schemas.microsoft.com/office/drawing/2014/main" id="{4D1770C7-ED7C-4FAE-94E2-B9A99A959C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122767</xdr:colOff>
      <xdr:row>263</xdr:row>
      <xdr:rowOff>160866</xdr:rowOff>
    </xdr:from>
    <xdr:to>
      <xdr:col>3</xdr:col>
      <xdr:colOff>12700</xdr:colOff>
      <xdr:row>279</xdr:row>
      <xdr:rowOff>101600</xdr:rowOff>
    </xdr:to>
    <xdr:graphicFrame macro="">
      <xdr:nvGraphicFramePr>
        <xdr:cNvPr id="6" name="Chart 5">
          <a:extLst>
            <a:ext uri="{FF2B5EF4-FFF2-40B4-BE49-F238E27FC236}">
              <a16:creationId xmlns:a16="http://schemas.microsoft.com/office/drawing/2014/main" id="{CA5DB90B-BE8F-4A18-A2C7-38E3CB4BC9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12698</xdr:colOff>
      <xdr:row>309</xdr:row>
      <xdr:rowOff>8468</xdr:rowOff>
    </xdr:from>
    <xdr:to>
      <xdr:col>9</xdr:col>
      <xdr:colOff>101600</xdr:colOff>
      <xdr:row>323</xdr:row>
      <xdr:rowOff>143935</xdr:rowOff>
    </xdr:to>
    <xdr:graphicFrame macro="">
      <xdr:nvGraphicFramePr>
        <xdr:cNvPr id="11" name="Chart 10">
          <a:extLst>
            <a:ext uri="{FF2B5EF4-FFF2-40B4-BE49-F238E27FC236}">
              <a16:creationId xmlns:a16="http://schemas.microsoft.com/office/drawing/2014/main" id="{19DCADBC-BC2E-472D-9551-E22600298C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330199</xdr:colOff>
      <xdr:row>13</xdr:row>
      <xdr:rowOff>33867</xdr:rowOff>
    </xdr:from>
    <xdr:to>
      <xdr:col>4</xdr:col>
      <xdr:colOff>973666</xdr:colOff>
      <xdr:row>15</xdr:row>
      <xdr:rowOff>8468</xdr:rowOff>
    </xdr:to>
    <xdr:sp macro="" textlink="">
      <xdr:nvSpPr>
        <xdr:cNvPr id="9" name="TextBox 8">
          <a:extLst>
            <a:ext uri="{FF2B5EF4-FFF2-40B4-BE49-F238E27FC236}">
              <a16:creationId xmlns:a16="http://schemas.microsoft.com/office/drawing/2014/main" id="{E6EDAD0F-9FDB-41A5-B4E1-982074287D19}"/>
            </a:ext>
          </a:extLst>
        </xdr:cNvPr>
        <xdr:cNvSpPr txBox="1"/>
      </xdr:nvSpPr>
      <xdr:spPr>
        <a:xfrm>
          <a:off x="5943599" y="4207934"/>
          <a:ext cx="643467" cy="347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solidFill>
                <a:schemeClr val="tx1">
                  <a:lumMod val="75000"/>
                  <a:lumOff val="25000"/>
                </a:schemeClr>
              </a:solidFill>
            </a:rPr>
            <a:t>EU</a:t>
          </a:r>
        </a:p>
      </xdr:txBody>
    </xdr:sp>
    <xdr:clientData/>
  </xdr:twoCellAnchor>
  <xdr:twoCellAnchor>
    <xdr:from>
      <xdr:col>4</xdr:col>
      <xdr:colOff>245534</xdr:colOff>
      <xdr:row>17</xdr:row>
      <xdr:rowOff>169334</xdr:rowOff>
    </xdr:from>
    <xdr:to>
      <xdr:col>4</xdr:col>
      <xdr:colOff>1007534</xdr:colOff>
      <xdr:row>19</xdr:row>
      <xdr:rowOff>143934</xdr:rowOff>
    </xdr:to>
    <xdr:sp macro="" textlink="">
      <xdr:nvSpPr>
        <xdr:cNvPr id="29" name="TextBox 28">
          <a:extLst>
            <a:ext uri="{FF2B5EF4-FFF2-40B4-BE49-F238E27FC236}">
              <a16:creationId xmlns:a16="http://schemas.microsoft.com/office/drawing/2014/main" id="{5CB17FF9-96F0-4FC3-A442-F0AFB21E47AF}"/>
            </a:ext>
          </a:extLst>
        </xdr:cNvPr>
        <xdr:cNvSpPr txBox="1"/>
      </xdr:nvSpPr>
      <xdr:spPr>
        <a:xfrm>
          <a:off x="5858934" y="5088467"/>
          <a:ext cx="762000" cy="347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AU" sz="1400" b="1">
              <a:solidFill>
                <a:schemeClr val="tx1">
                  <a:lumMod val="75000"/>
                  <a:lumOff val="25000"/>
                </a:schemeClr>
              </a:solidFill>
              <a:latin typeface="+mn-lt"/>
              <a:ea typeface="+mn-ea"/>
              <a:cs typeface="+mn-cs"/>
            </a:rPr>
            <a:t>Non-EU</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8467</xdr:colOff>
      <xdr:row>88</xdr:row>
      <xdr:rowOff>193192</xdr:rowOff>
    </xdr:from>
    <xdr:to>
      <xdr:col>10</xdr:col>
      <xdr:colOff>8466</xdr:colOff>
      <xdr:row>99</xdr:row>
      <xdr:rowOff>148087</xdr:rowOff>
    </xdr:to>
    <xdr:graphicFrame macro="">
      <xdr:nvGraphicFramePr>
        <xdr:cNvPr id="3" name="Chart 2">
          <a:extLst>
            <a:ext uri="{FF2B5EF4-FFF2-40B4-BE49-F238E27FC236}">
              <a16:creationId xmlns:a16="http://schemas.microsoft.com/office/drawing/2014/main" id="{C4BE62A4-7866-486A-B612-6EC28E92E0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8467</xdr:colOff>
      <xdr:row>100</xdr:row>
      <xdr:rowOff>1691</xdr:rowOff>
    </xdr:from>
    <xdr:to>
      <xdr:col>9</xdr:col>
      <xdr:colOff>609597</xdr:colOff>
      <xdr:row>106</xdr:row>
      <xdr:rowOff>237067</xdr:rowOff>
    </xdr:to>
    <xdr:graphicFrame macro="">
      <xdr:nvGraphicFramePr>
        <xdr:cNvPr id="4" name="Chart 3">
          <a:extLst>
            <a:ext uri="{FF2B5EF4-FFF2-40B4-BE49-F238E27FC236}">
              <a16:creationId xmlns:a16="http://schemas.microsoft.com/office/drawing/2014/main" id="{F26B7809-63EC-4FCD-8D69-612A04166B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118534</xdr:colOff>
      <xdr:row>89</xdr:row>
      <xdr:rowOff>1</xdr:rowOff>
    </xdr:from>
    <xdr:to>
      <xdr:col>3</xdr:col>
      <xdr:colOff>736600</xdr:colOff>
      <xdr:row>99</xdr:row>
      <xdr:rowOff>113453</xdr:rowOff>
    </xdr:to>
    <xdr:graphicFrame macro="">
      <xdr:nvGraphicFramePr>
        <xdr:cNvPr id="9" name="Chart 8">
          <a:extLst>
            <a:ext uri="{FF2B5EF4-FFF2-40B4-BE49-F238E27FC236}">
              <a16:creationId xmlns:a16="http://schemas.microsoft.com/office/drawing/2014/main" id="{10DA7ED2-088D-4CC7-9319-4399DFC480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204049</xdr:colOff>
      <xdr:row>40</xdr:row>
      <xdr:rowOff>203202</xdr:rowOff>
    </xdr:from>
    <xdr:to>
      <xdr:col>10</xdr:col>
      <xdr:colOff>228601</xdr:colOff>
      <xdr:row>54</xdr:row>
      <xdr:rowOff>9525</xdr:rowOff>
    </xdr:to>
    <xdr:graphicFrame macro="">
      <xdr:nvGraphicFramePr>
        <xdr:cNvPr id="10" name="Chart 9">
          <a:extLst>
            <a:ext uri="{FF2B5EF4-FFF2-40B4-BE49-F238E27FC236}">
              <a16:creationId xmlns:a16="http://schemas.microsoft.com/office/drawing/2014/main" id="{3E07343C-2E47-41FD-A3E9-45F95B6B7E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905934</xdr:colOff>
      <xdr:row>56</xdr:row>
      <xdr:rowOff>5081</xdr:rowOff>
    </xdr:from>
    <xdr:to>
      <xdr:col>14</xdr:col>
      <xdr:colOff>76201</xdr:colOff>
      <xdr:row>67</xdr:row>
      <xdr:rowOff>39794</xdr:rowOff>
    </xdr:to>
    <xdr:graphicFrame macro="">
      <xdr:nvGraphicFramePr>
        <xdr:cNvPr id="12" name="Chart 11">
          <a:extLst>
            <a:ext uri="{FF2B5EF4-FFF2-40B4-BE49-F238E27FC236}">
              <a16:creationId xmlns:a16="http://schemas.microsoft.com/office/drawing/2014/main" id="{F19577D4-59D7-4A66-9A43-4F5982A0E9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xdr:colOff>
      <xdr:row>67</xdr:row>
      <xdr:rowOff>521549</xdr:rowOff>
    </xdr:from>
    <xdr:to>
      <xdr:col>14</xdr:col>
      <xdr:colOff>212735</xdr:colOff>
      <xdr:row>79</xdr:row>
      <xdr:rowOff>219076</xdr:rowOff>
    </xdr:to>
    <xdr:graphicFrame macro="">
      <xdr:nvGraphicFramePr>
        <xdr:cNvPr id="13" name="Chart 12">
          <a:extLst>
            <a:ext uri="{FF2B5EF4-FFF2-40B4-BE49-F238E27FC236}">
              <a16:creationId xmlns:a16="http://schemas.microsoft.com/office/drawing/2014/main" id="{8405F5FD-52AC-4EE8-A683-76B0BE3996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894925</xdr:colOff>
      <xdr:row>6</xdr:row>
      <xdr:rowOff>228598</xdr:rowOff>
    </xdr:from>
    <xdr:to>
      <xdr:col>15</xdr:col>
      <xdr:colOff>9525</xdr:colOff>
      <xdr:row>23</xdr:row>
      <xdr:rowOff>9525</xdr:rowOff>
    </xdr:to>
    <xdr:grpSp>
      <xdr:nvGrpSpPr>
        <xdr:cNvPr id="19" name="Group 18">
          <a:extLst>
            <a:ext uri="{FF2B5EF4-FFF2-40B4-BE49-F238E27FC236}">
              <a16:creationId xmlns:a16="http://schemas.microsoft.com/office/drawing/2014/main" id="{D014CD32-75C7-406F-84E0-D4E79D979268}"/>
            </a:ext>
          </a:extLst>
        </xdr:cNvPr>
        <xdr:cNvGrpSpPr/>
      </xdr:nvGrpSpPr>
      <xdr:grpSpPr>
        <a:xfrm>
          <a:off x="6347458" y="3403598"/>
          <a:ext cx="9511667" cy="3362327"/>
          <a:chOff x="5345459" y="1473200"/>
          <a:chExt cx="7908821" cy="3401546"/>
        </a:xfrm>
      </xdr:grpSpPr>
      <xdr:grpSp>
        <xdr:nvGrpSpPr>
          <xdr:cNvPr id="17" name="Group 16">
            <a:extLst>
              <a:ext uri="{FF2B5EF4-FFF2-40B4-BE49-F238E27FC236}">
                <a16:creationId xmlns:a16="http://schemas.microsoft.com/office/drawing/2014/main" id="{1583846A-47C4-432D-93CD-3D70353B99DD}"/>
              </a:ext>
            </a:extLst>
          </xdr:cNvPr>
          <xdr:cNvGrpSpPr/>
        </xdr:nvGrpSpPr>
        <xdr:grpSpPr>
          <a:xfrm>
            <a:off x="5345459" y="1473200"/>
            <a:ext cx="7908821" cy="3401546"/>
            <a:chOff x="5345459" y="1473200"/>
            <a:chExt cx="7908821" cy="3401546"/>
          </a:xfrm>
        </xdr:grpSpPr>
        <xdr:graphicFrame macro="">
          <xdr:nvGraphicFramePr>
            <xdr:cNvPr id="14" name="Chart 13">
              <a:extLst>
                <a:ext uri="{FF2B5EF4-FFF2-40B4-BE49-F238E27FC236}">
                  <a16:creationId xmlns:a16="http://schemas.microsoft.com/office/drawing/2014/main" id="{69316C81-E128-4408-8FF9-71DF9E3B120B}"/>
                </a:ext>
              </a:extLst>
            </xdr:cNvPr>
            <xdr:cNvGraphicFramePr>
              <a:graphicFrameLocks/>
            </xdr:cNvGraphicFramePr>
          </xdr:nvGraphicFramePr>
          <xdr:xfrm>
            <a:off x="5345459" y="1473200"/>
            <a:ext cx="7908821" cy="3401546"/>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2" name="TextBox 1">
              <a:extLst>
                <a:ext uri="{FF2B5EF4-FFF2-40B4-BE49-F238E27FC236}">
                  <a16:creationId xmlns:a16="http://schemas.microsoft.com/office/drawing/2014/main" id="{3B2C79F5-3D80-4042-B833-269543108F2B}"/>
                </a:ext>
              </a:extLst>
            </xdr:cNvPr>
            <xdr:cNvSpPr txBox="1"/>
          </xdr:nvSpPr>
          <xdr:spPr>
            <a:xfrm>
              <a:off x="10587848" y="2244802"/>
              <a:ext cx="881483" cy="414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i="0" u="none" strike="noStrike" kern="1200" baseline="0">
                  <a:solidFill>
                    <a:schemeClr val="tx1">
                      <a:lumMod val="65000"/>
                      <a:lumOff val="35000"/>
                    </a:schemeClr>
                  </a:solidFill>
                  <a:latin typeface="+mn-lt"/>
                  <a:ea typeface="+mn-ea"/>
                  <a:cs typeface="+mn-cs"/>
                </a:rPr>
                <a:t>£117 bn</a:t>
              </a:r>
            </a:p>
          </xdr:txBody>
        </xdr:sp>
      </xdr:grpSp>
      <xdr:sp macro="" textlink="">
        <xdr:nvSpPr>
          <xdr:cNvPr id="18" name="TextBox 17">
            <a:extLst>
              <a:ext uri="{FF2B5EF4-FFF2-40B4-BE49-F238E27FC236}">
                <a16:creationId xmlns:a16="http://schemas.microsoft.com/office/drawing/2014/main" id="{A1B21A83-C282-4046-8AFC-C0C92A73061C}"/>
              </a:ext>
            </a:extLst>
          </xdr:cNvPr>
          <xdr:cNvSpPr txBox="1"/>
        </xdr:nvSpPr>
        <xdr:spPr>
          <a:xfrm>
            <a:off x="12413505" y="3062005"/>
            <a:ext cx="719666" cy="355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i="0" u="none" strike="noStrike" kern="1200" baseline="0">
                <a:solidFill>
                  <a:schemeClr val="tx1">
                    <a:lumMod val="65000"/>
                    <a:lumOff val="35000"/>
                  </a:schemeClr>
                </a:solidFill>
                <a:latin typeface="+mn-lt"/>
                <a:ea typeface="+mn-ea"/>
                <a:cs typeface="+mn-cs"/>
              </a:rPr>
              <a:t>£167 bn</a:t>
            </a:r>
          </a:p>
        </xdr:txBody>
      </xdr:sp>
    </xdr:grpSp>
    <xdr:clientData/>
  </xdr:twoCellAnchor>
  <xdr:twoCellAnchor>
    <xdr:from>
      <xdr:col>0</xdr:col>
      <xdr:colOff>186266</xdr:colOff>
      <xdr:row>123</xdr:row>
      <xdr:rowOff>4234</xdr:rowOff>
    </xdr:from>
    <xdr:to>
      <xdr:col>7</xdr:col>
      <xdr:colOff>237066</xdr:colOff>
      <xdr:row>136</xdr:row>
      <xdr:rowOff>127001</xdr:rowOff>
    </xdr:to>
    <xdr:graphicFrame macro="">
      <xdr:nvGraphicFramePr>
        <xdr:cNvPr id="8" name="Chart 7">
          <a:extLst>
            <a:ext uri="{FF2B5EF4-FFF2-40B4-BE49-F238E27FC236}">
              <a16:creationId xmlns:a16="http://schemas.microsoft.com/office/drawing/2014/main" id="{E8D63AD8-F555-4BE7-8431-3C6E064192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12700</xdr:colOff>
      <xdr:row>107</xdr:row>
      <xdr:rowOff>4234</xdr:rowOff>
    </xdr:from>
    <xdr:to>
      <xdr:col>9</xdr:col>
      <xdr:colOff>414867</xdr:colOff>
      <xdr:row>114</xdr:row>
      <xdr:rowOff>177800</xdr:rowOff>
    </xdr:to>
    <xdr:graphicFrame macro="">
      <xdr:nvGraphicFramePr>
        <xdr:cNvPr id="15" name="Chart 14">
          <a:extLst>
            <a:ext uri="{FF2B5EF4-FFF2-40B4-BE49-F238E27FC236}">
              <a16:creationId xmlns:a16="http://schemas.microsoft.com/office/drawing/2014/main" id="{A0A2FD6B-DBA4-4BDF-BC1B-C93353CA65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38098</xdr:colOff>
      <xdr:row>142</xdr:row>
      <xdr:rowOff>16932</xdr:rowOff>
    </xdr:from>
    <xdr:to>
      <xdr:col>6</xdr:col>
      <xdr:colOff>1684865</xdr:colOff>
      <xdr:row>156</xdr:row>
      <xdr:rowOff>88898</xdr:rowOff>
    </xdr:to>
    <xdr:graphicFrame macro="">
      <xdr:nvGraphicFramePr>
        <xdr:cNvPr id="16" name="Chart 15">
          <a:extLst>
            <a:ext uri="{FF2B5EF4-FFF2-40B4-BE49-F238E27FC236}">
              <a16:creationId xmlns:a16="http://schemas.microsoft.com/office/drawing/2014/main" id="{9FF6A15D-DFAC-4E4F-B25C-EB0A4E7F7A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24</xdr:row>
      <xdr:rowOff>0</xdr:rowOff>
    </xdr:from>
    <xdr:to>
      <xdr:col>11</xdr:col>
      <xdr:colOff>9525</xdr:colOff>
      <xdr:row>38</xdr:row>
      <xdr:rowOff>110066</xdr:rowOff>
    </xdr:to>
    <xdr:graphicFrame macro="">
      <xdr:nvGraphicFramePr>
        <xdr:cNvPr id="23" name="Chart 22">
          <a:extLst>
            <a:ext uri="{FF2B5EF4-FFF2-40B4-BE49-F238E27FC236}">
              <a16:creationId xmlns:a16="http://schemas.microsoft.com/office/drawing/2014/main" id="{F0EC4E90-84FE-41A3-AEB0-34A32ACE9A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372533</xdr:colOff>
      <xdr:row>142</xdr:row>
      <xdr:rowOff>8466</xdr:rowOff>
    </xdr:from>
    <xdr:to>
      <xdr:col>17</xdr:col>
      <xdr:colOff>690034</xdr:colOff>
      <xdr:row>156</xdr:row>
      <xdr:rowOff>80432</xdr:rowOff>
    </xdr:to>
    <xdr:graphicFrame macro="">
      <xdr:nvGraphicFramePr>
        <xdr:cNvPr id="21" name="Chart 20">
          <a:extLst>
            <a:ext uri="{FF2B5EF4-FFF2-40B4-BE49-F238E27FC236}">
              <a16:creationId xmlns:a16="http://schemas.microsoft.com/office/drawing/2014/main" id="{3FD1CA04-CC58-4D63-A369-65A5F5D17F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385234</xdr:colOff>
      <xdr:row>5</xdr:row>
      <xdr:rowOff>4233</xdr:rowOff>
    </xdr:from>
    <xdr:to>
      <xdr:col>11</xdr:col>
      <xdr:colOff>0</xdr:colOff>
      <xdr:row>13</xdr:row>
      <xdr:rowOff>94827</xdr:rowOff>
    </xdr:to>
    <xdr:graphicFrame macro="">
      <xdr:nvGraphicFramePr>
        <xdr:cNvPr id="2" name="Chart 1">
          <a:extLst>
            <a:ext uri="{FF2B5EF4-FFF2-40B4-BE49-F238E27FC236}">
              <a16:creationId xmlns:a16="http://schemas.microsoft.com/office/drawing/2014/main" id="{EC505988-0B35-4C09-8F8C-2695BB0D89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395394</xdr:colOff>
      <xdr:row>15</xdr:row>
      <xdr:rowOff>182881</xdr:rowOff>
    </xdr:from>
    <xdr:to>
      <xdr:col>8</xdr:col>
      <xdr:colOff>411480</xdr:colOff>
      <xdr:row>27</xdr:row>
      <xdr:rowOff>45720</xdr:rowOff>
    </xdr:to>
    <xdr:graphicFrame macro="">
      <xdr:nvGraphicFramePr>
        <xdr:cNvPr id="3" name="Chart 2">
          <a:extLst>
            <a:ext uri="{FF2B5EF4-FFF2-40B4-BE49-F238E27FC236}">
              <a16:creationId xmlns:a16="http://schemas.microsoft.com/office/drawing/2014/main" id="{1CEAB42A-189B-4CC5-B739-7170E17BA0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122767</xdr:colOff>
      <xdr:row>55</xdr:row>
      <xdr:rowOff>160866</xdr:rowOff>
    </xdr:from>
    <xdr:to>
      <xdr:col>3</xdr:col>
      <xdr:colOff>12700</xdr:colOff>
      <xdr:row>71</xdr:row>
      <xdr:rowOff>101600</xdr:rowOff>
    </xdr:to>
    <xdr:graphicFrame macro="">
      <xdr:nvGraphicFramePr>
        <xdr:cNvPr id="4" name="Chart 3">
          <a:extLst>
            <a:ext uri="{FF2B5EF4-FFF2-40B4-BE49-F238E27FC236}">
              <a16:creationId xmlns:a16="http://schemas.microsoft.com/office/drawing/2014/main" id="{505FA79B-D327-46D6-8665-0CDFDA3617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203198</xdr:colOff>
      <xdr:row>95</xdr:row>
      <xdr:rowOff>8468</xdr:rowOff>
    </xdr:from>
    <xdr:to>
      <xdr:col>4</xdr:col>
      <xdr:colOff>1562100</xdr:colOff>
      <xdr:row>109</xdr:row>
      <xdr:rowOff>143935</xdr:rowOff>
    </xdr:to>
    <xdr:graphicFrame macro="">
      <xdr:nvGraphicFramePr>
        <xdr:cNvPr id="5" name="Chart 4">
          <a:extLst>
            <a:ext uri="{FF2B5EF4-FFF2-40B4-BE49-F238E27FC236}">
              <a16:creationId xmlns:a16="http://schemas.microsoft.com/office/drawing/2014/main" id="{B3A766FD-7DCA-4AB6-9437-68DDE5E35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245534</xdr:colOff>
      <xdr:row>41</xdr:row>
      <xdr:rowOff>0</xdr:rowOff>
    </xdr:from>
    <xdr:to>
      <xdr:col>18</xdr:col>
      <xdr:colOff>76202</xdr:colOff>
      <xdr:row>41</xdr:row>
      <xdr:rowOff>0</xdr:rowOff>
    </xdr:to>
    <xdr:graphicFrame macro="">
      <xdr:nvGraphicFramePr>
        <xdr:cNvPr id="6" name="Chart 5">
          <a:extLst>
            <a:ext uri="{FF2B5EF4-FFF2-40B4-BE49-F238E27FC236}">
              <a16:creationId xmlns:a16="http://schemas.microsoft.com/office/drawing/2014/main" id="{B0E560ED-07ED-4B83-B450-67A214ADF8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872067</xdr:colOff>
      <xdr:row>34</xdr:row>
      <xdr:rowOff>0</xdr:rowOff>
    </xdr:from>
    <xdr:to>
      <xdr:col>9</xdr:col>
      <xdr:colOff>262467</xdr:colOff>
      <xdr:row>34</xdr:row>
      <xdr:rowOff>25400</xdr:rowOff>
    </xdr:to>
    <xdr:graphicFrame macro="">
      <xdr:nvGraphicFramePr>
        <xdr:cNvPr id="9" name="Chart 8">
          <a:extLst>
            <a:ext uri="{FF2B5EF4-FFF2-40B4-BE49-F238E27FC236}">
              <a16:creationId xmlns:a16="http://schemas.microsoft.com/office/drawing/2014/main" id="{B0EA83B4-93E6-42E9-A18D-2B3398FC40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30</xdr:row>
      <xdr:rowOff>182034</xdr:rowOff>
    </xdr:from>
    <xdr:to>
      <xdr:col>8</xdr:col>
      <xdr:colOff>491067</xdr:colOff>
      <xdr:row>31</xdr:row>
      <xdr:rowOff>0</xdr:rowOff>
    </xdr:to>
    <xdr:graphicFrame macro="">
      <xdr:nvGraphicFramePr>
        <xdr:cNvPr id="11" name="Chart 10">
          <a:extLst>
            <a:ext uri="{FF2B5EF4-FFF2-40B4-BE49-F238E27FC236}">
              <a16:creationId xmlns:a16="http://schemas.microsoft.com/office/drawing/2014/main" id="{C8916FC4-A92C-4BEC-9332-DF923BB160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11</xdr:row>
      <xdr:rowOff>1</xdr:rowOff>
    </xdr:from>
    <xdr:to>
      <xdr:col>23</xdr:col>
      <xdr:colOff>42333</xdr:colOff>
      <xdr:row>26</xdr:row>
      <xdr:rowOff>0</xdr:rowOff>
    </xdr:to>
    <xdr:graphicFrame macro="">
      <xdr:nvGraphicFramePr>
        <xdr:cNvPr id="12" name="Chart 11">
          <a:extLst>
            <a:ext uri="{FF2B5EF4-FFF2-40B4-BE49-F238E27FC236}">
              <a16:creationId xmlns:a16="http://schemas.microsoft.com/office/drawing/2014/main" id="{A0A89585-139C-4B29-AAA0-732EDECE1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4234</xdr:colOff>
      <xdr:row>98</xdr:row>
      <xdr:rowOff>156633</xdr:rowOff>
    </xdr:from>
    <xdr:to>
      <xdr:col>8</xdr:col>
      <xdr:colOff>198967</xdr:colOff>
      <xdr:row>108</xdr:row>
      <xdr:rowOff>186267</xdr:rowOff>
    </xdr:to>
    <xdr:graphicFrame macro="">
      <xdr:nvGraphicFramePr>
        <xdr:cNvPr id="13" name="Chart 12">
          <a:extLst>
            <a:ext uri="{FF2B5EF4-FFF2-40B4-BE49-F238E27FC236}">
              <a16:creationId xmlns:a16="http://schemas.microsoft.com/office/drawing/2014/main" id="{88D5498D-E3E2-4213-BA6F-55F4F6AF22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867834</xdr:colOff>
      <xdr:row>113</xdr:row>
      <xdr:rowOff>1</xdr:rowOff>
    </xdr:from>
    <xdr:to>
      <xdr:col>8</xdr:col>
      <xdr:colOff>0</xdr:colOff>
      <xdr:row>124</xdr:row>
      <xdr:rowOff>135468</xdr:rowOff>
    </xdr:to>
    <xdr:graphicFrame macro="">
      <xdr:nvGraphicFramePr>
        <xdr:cNvPr id="14" name="Chart 13">
          <a:extLst>
            <a:ext uri="{FF2B5EF4-FFF2-40B4-BE49-F238E27FC236}">
              <a16:creationId xmlns:a16="http://schemas.microsoft.com/office/drawing/2014/main" id="{CE20E933-5D93-4F14-9E37-CF01E295F6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122767</xdr:colOff>
      <xdr:row>133</xdr:row>
      <xdr:rowOff>160866</xdr:rowOff>
    </xdr:from>
    <xdr:to>
      <xdr:col>3</xdr:col>
      <xdr:colOff>12700</xdr:colOff>
      <xdr:row>149</xdr:row>
      <xdr:rowOff>101600</xdr:rowOff>
    </xdr:to>
    <xdr:graphicFrame macro="">
      <xdr:nvGraphicFramePr>
        <xdr:cNvPr id="23" name="Chart 22">
          <a:extLst>
            <a:ext uri="{FF2B5EF4-FFF2-40B4-BE49-F238E27FC236}">
              <a16:creationId xmlns:a16="http://schemas.microsoft.com/office/drawing/2014/main" id="{FAB2B5E2-FBEA-437B-A4DB-EECF8C439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12698</xdr:colOff>
      <xdr:row>179</xdr:row>
      <xdr:rowOff>8468</xdr:rowOff>
    </xdr:from>
    <xdr:to>
      <xdr:col>9</xdr:col>
      <xdr:colOff>101600</xdr:colOff>
      <xdr:row>193</xdr:row>
      <xdr:rowOff>143935</xdr:rowOff>
    </xdr:to>
    <xdr:graphicFrame macro="">
      <xdr:nvGraphicFramePr>
        <xdr:cNvPr id="24" name="Chart 23">
          <a:extLst>
            <a:ext uri="{FF2B5EF4-FFF2-40B4-BE49-F238E27FC236}">
              <a16:creationId xmlns:a16="http://schemas.microsoft.com/office/drawing/2014/main" id="{5B3846F1-75BC-47C1-BEA3-87D5181580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339090</xdr:colOff>
      <xdr:row>10</xdr:row>
      <xdr:rowOff>182880</xdr:rowOff>
    </xdr:from>
    <xdr:to>
      <xdr:col>7</xdr:col>
      <xdr:colOff>712470</xdr:colOff>
      <xdr:row>29</xdr:row>
      <xdr:rowOff>0</xdr:rowOff>
    </xdr:to>
    <xdr:graphicFrame macro="">
      <xdr:nvGraphicFramePr>
        <xdr:cNvPr id="27" name="Chart 26">
          <a:extLst>
            <a:ext uri="{FF2B5EF4-FFF2-40B4-BE49-F238E27FC236}">
              <a16:creationId xmlns:a16="http://schemas.microsoft.com/office/drawing/2014/main" id="{77A67544-5447-4398-A4C0-FFC44DF9B6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245534</xdr:colOff>
      <xdr:row>63</xdr:row>
      <xdr:rowOff>0</xdr:rowOff>
    </xdr:from>
    <xdr:to>
      <xdr:col>18</xdr:col>
      <xdr:colOff>76202</xdr:colOff>
      <xdr:row>63</xdr:row>
      <xdr:rowOff>0</xdr:rowOff>
    </xdr:to>
    <xdr:graphicFrame macro="">
      <xdr:nvGraphicFramePr>
        <xdr:cNvPr id="2" name="Chart 1">
          <a:extLst>
            <a:ext uri="{FF2B5EF4-FFF2-40B4-BE49-F238E27FC236}">
              <a16:creationId xmlns:a16="http://schemas.microsoft.com/office/drawing/2014/main" id="{7C6DCEAF-A9B4-4D8E-B79F-BE4BA6AE2A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872067</xdr:colOff>
      <xdr:row>35</xdr:row>
      <xdr:rowOff>0</xdr:rowOff>
    </xdr:from>
    <xdr:to>
      <xdr:col>9</xdr:col>
      <xdr:colOff>262467</xdr:colOff>
      <xdr:row>35</xdr:row>
      <xdr:rowOff>25400</xdr:rowOff>
    </xdr:to>
    <xdr:graphicFrame macro="">
      <xdr:nvGraphicFramePr>
        <xdr:cNvPr id="3" name="Chart 2">
          <a:extLst>
            <a:ext uri="{FF2B5EF4-FFF2-40B4-BE49-F238E27FC236}">
              <a16:creationId xmlns:a16="http://schemas.microsoft.com/office/drawing/2014/main" id="{E06661F5-83E8-4FBE-A3F7-8F189A60F3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16</xdr:row>
      <xdr:rowOff>1</xdr:rowOff>
    </xdr:from>
    <xdr:to>
      <xdr:col>23</xdr:col>
      <xdr:colOff>42333</xdr:colOff>
      <xdr:row>30</xdr:row>
      <xdr:rowOff>0</xdr:rowOff>
    </xdr:to>
    <xdr:graphicFrame macro="">
      <xdr:nvGraphicFramePr>
        <xdr:cNvPr id="5" name="Chart 4">
          <a:extLst>
            <a:ext uri="{FF2B5EF4-FFF2-40B4-BE49-F238E27FC236}">
              <a16:creationId xmlns:a16="http://schemas.microsoft.com/office/drawing/2014/main" id="{8A23C56F-C850-4CF0-855A-BD02AF659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4234</xdr:colOff>
      <xdr:row>158</xdr:row>
      <xdr:rowOff>156633</xdr:rowOff>
    </xdr:from>
    <xdr:to>
      <xdr:col>8</xdr:col>
      <xdr:colOff>198967</xdr:colOff>
      <xdr:row>168</xdr:row>
      <xdr:rowOff>186267</xdr:rowOff>
    </xdr:to>
    <xdr:graphicFrame macro="">
      <xdr:nvGraphicFramePr>
        <xdr:cNvPr id="6" name="Chart 5">
          <a:extLst>
            <a:ext uri="{FF2B5EF4-FFF2-40B4-BE49-F238E27FC236}">
              <a16:creationId xmlns:a16="http://schemas.microsoft.com/office/drawing/2014/main" id="{8D7632B8-BF24-493A-B58D-297990DE5A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867834</xdr:colOff>
      <xdr:row>173</xdr:row>
      <xdr:rowOff>1</xdr:rowOff>
    </xdr:from>
    <xdr:to>
      <xdr:col>8</xdr:col>
      <xdr:colOff>0</xdr:colOff>
      <xdr:row>184</xdr:row>
      <xdr:rowOff>135468</xdr:rowOff>
    </xdr:to>
    <xdr:graphicFrame macro="">
      <xdr:nvGraphicFramePr>
        <xdr:cNvPr id="7" name="Chart 6">
          <a:extLst>
            <a:ext uri="{FF2B5EF4-FFF2-40B4-BE49-F238E27FC236}">
              <a16:creationId xmlns:a16="http://schemas.microsoft.com/office/drawing/2014/main" id="{B73ECC47-01DD-48E7-8DC7-3533A87AC3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122767</xdr:colOff>
      <xdr:row>193</xdr:row>
      <xdr:rowOff>160866</xdr:rowOff>
    </xdr:from>
    <xdr:to>
      <xdr:col>3</xdr:col>
      <xdr:colOff>12700</xdr:colOff>
      <xdr:row>209</xdr:row>
      <xdr:rowOff>101600</xdr:rowOff>
    </xdr:to>
    <xdr:graphicFrame macro="">
      <xdr:nvGraphicFramePr>
        <xdr:cNvPr id="11" name="Chart 10">
          <a:extLst>
            <a:ext uri="{FF2B5EF4-FFF2-40B4-BE49-F238E27FC236}">
              <a16:creationId xmlns:a16="http://schemas.microsoft.com/office/drawing/2014/main" id="{488D67A7-0607-4234-B320-B38B5904AA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12698</xdr:colOff>
      <xdr:row>239</xdr:row>
      <xdr:rowOff>8468</xdr:rowOff>
    </xdr:from>
    <xdr:to>
      <xdr:col>9</xdr:col>
      <xdr:colOff>101600</xdr:colOff>
      <xdr:row>253</xdr:row>
      <xdr:rowOff>143935</xdr:rowOff>
    </xdr:to>
    <xdr:graphicFrame macro="">
      <xdr:nvGraphicFramePr>
        <xdr:cNvPr id="12" name="Chart 11">
          <a:extLst>
            <a:ext uri="{FF2B5EF4-FFF2-40B4-BE49-F238E27FC236}">
              <a16:creationId xmlns:a16="http://schemas.microsoft.com/office/drawing/2014/main" id="{78755731-7D1B-45BE-9329-A5C9BD8BB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872490</xdr:colOff>
      <xdr:row>16</xdr:row>
      <xdr:rowOff>0</xdr:rowOff>
    </xdr:from>
    <xdr:to>
      <xdr:col>8</xdr:col>
      <xdr:colOff>430530</xdr:colOff>
      <xdr:row>32</xdr:row>
      <xdr:rowOff>0</xdr:rowOff>
    </xdr:to>
    <xdr:graphicFrame macro="">
      <xdr:nvGraphicFramePr>
        <xdr:cNvPr id="15" name="Chart 14">
          <a:extLst>
            <a:ext uri="{FF2B5EF4-FFF2-40B4-BE49-F238E27FC236}">
              <a16:creationId xmlns:a16="http://schemas.microsoft.com/office/drawing/2014/main" id="{3090E2BE-8AEA-4407-84CF-435F647A55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864870</xdr:colOff>
      <xdr:row>6</xdr:row>
      <xdr:rowOff>7620</xdr:rowOff>
    </xdr:from>
    <xdr:to>
      <xdr:col>7</xdr:col>
      <xdr:colOff>182880</xdr:colOff>
      <xdr:row>15</xdr:row>
      <xdr:rowOff>0</xdr:rowOff>
    </xdr:to>
    <xdr:graphicFrame macro="">
      <xdr:nvGraphicFramePr>
        <xdr:cNvPr id="8" name="Chart 7">
          <a:extLst>
            <a:ext uri="{FF2B5EF4-FFF2-40B4-BE49-F238E27FC236}">
              <a16:creationId xmlns:a16="http://schemas.microsoft.com/office/drawing/2014/main" id="{01C4CE9C-1E9E-4B42-950C-72856EDC99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245534</xdr:colOff>
      <xdr:row>9</xdr:row>
      <xdr:rowOff>0</xdr:rowOff>
    </xdr:from>
    <xdr:to>
      <xdr:col>19</xdr:col>
      <xdr:colOff>76202</xdr:colOff>
      <xdr:row>9</xdr:row>
      <xdr:rowOff>0</xdr:rowOff>
    </xdr:to>
    <xdr:graphicFrame macro="">
      <xdr:nvGraphicFramePr>
        <xdr:cNvPr id="2" name="Chart 1">
          <a:extLst>
            <a:ext uri="{FF2B5EF4-FFF2-40B4-BE49-F238E27FC236}">
              <a16:creationId xmlns:a16="http://schemas.microsoft.com/office/drawing/2014/main" id="{B1519350-6B13-4508-98D6-546FDD276B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872067</xdr:colOff>
      <xdr:row>3</xdr:row>
      <xdr:rowOff>0</xdr:rowOff>
    </xdr:from>
    <xdr:to>
      <xdr:col>10</xdr:col>
      <xdr:colOff>262467</xdr:colOff>
      <xdr:row>3</xdr:row>
      <xdr:rowOff>25400</xdr:rowOff>
    </xdr:to>
    <xdr:graphicFrame macro="">
      <xdr:nvGraphicFramePr>
        <xdr:cNvPr id="3" name="Chart 2">
          <a:extLst>
            <a:ext uri="{FF2B5EF4-FFF2-40B4-BE49-F238E27FC236}">
              <a16:creationId xmlns:a16="http://schemas.microsoft.com/office/drawing/2014/main" id="{09457BFF-1C08-43A1-A8D3-FDCC51C294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4234</xdr:colOff>
      <xdr:row>62</xdr:row>
      <xdr:rowOff>156633</xdr:rowOff>
    </xdr:from>
    <xdr:to>
      <xdr:col>9</xdr:col>
      <xdr:colOff>198967</xdr:colOff>
      <xdr:row>72</xdr:row>
      <xdr:rowOff>186267</xdr:rowOff>
    </xdr:to>
    <xdr:graphicFrame macro="">
      <xdr:nvGraphicFramePr>
        <xdr:cNvPr id="6" name="Chart 5">
          <a:extLst>
            <a:ext uri="{FF2B5EF4-FFF2-40B4-BE49-F238E27FC236}">
              <a16:creationId xmlns:a16="http://schemas.microsoft.com/office/drawing/2014/main" id="{E0284B6C-906B-4262-98AF-2BF5D43492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867834</xdr:colOff>
      <xdr:row>77</xdr:row>
      <xdr:rowOff>1</xdr:rowOff>
    </xdr:from>
    <xdr:to>
      <xdr:col>9</xdr:col>
      <xdr:colOff>0</xdr:colOff>
      <xdr:row>88</xdr:row>
      <xdr:rowOff>135468</xdr:rowOff>
    </xdr:to>
    <xdr:graphicFrame macro="">
      <xdr:nvGraphicFramePr>
        <xdr:cNvPr id="7" name="Chart 6">
          <a:extLst>
            <a:ext uri="{FF2B5EF4-FFF2-40B4-BE49-F238E27FC236}">
              <a16:creationId xmlns:a16="http://schemas.microsoft.com/office/drawing/2014/main" id="{387B1870-9061-4205-9B36-16DAC0C6C9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122767</xdr:colOff>
      <xdr:row>97</xdr:row>
      <xdr:rowOff>160866</xdr:rowOff>
    </xdr:from>
    <xdr:to>
      <xdr:col>4</xdr:col>
      <xdr:colOff>12700</xdr:colOff>
      <xdr:row>113</xdr:row>
      <xdr:rowOff>101600</xdr:rowOff>
    </xdr:to>
    <xdr:graphicFrame macro="">
      <xdr:nvGraphicFramePr>
        <xdr:cNvPr id="11" name="Chart 10">
          <a:extLst>
            <a:ext uri="{FF2B5EF4-FFF2-40B4-BE49-F238E27FC236}">
              <a16:creationId xmlns:a16="http://schemas.microsoft.com/office/drawing/2014/main" id="{E9823BE5-7C05-4CC5-9509-47AC573DFC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12698</xdr:colOff>
      <xdr:row>143</xdr:row>
      <xdr:rowOff>8468</xdr:rowOff>
    </xdr:from>
    <xdr:to>
      <xdr:col>10</xdr:col>
      <xdr:colOff>101600</xdr:colOff>
      <xdr:row>157</xdr:row>
      <xdr:rowOff>143935</xdr:rowOff>
    </xdr:to>
    <xdr:graphicFrame macro="">
      <xdr:nvGraphicFramePr>
        <xdr:cNvPr id="12" name="Chart 11">
          <a:extLst>
            <a:ext uri="{FF2B5EF4-FFF2-40B4-BE49-F238E27FC236}">
              <a16:creationId xmlns:a16="http://schemas.microsoft.com/office/drawing/2014/main" id="{F44CB32A-E158-4436-BF4A-C4A68882BF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297180</xdr:colOff>
      <xdr:row>7</xdr:row>
      <xdr:rowOff>99060</xdr:rowOff>
    </xdr:from>
    <xdr:to>
      <xdr:col>11</xdr:col>
      <xdr:colOff>190500</xdr:colOff>
      <xdr:row>10</xdr:row>
      <xdr:rowOff>0</xdr:rowOff>
    </xdr:to>
    <xdr:sp macro="" textlink="">
      <xdr:nvSpPr>
        <xdr:cNvPr id="3" name="Right Triangle 2">
          <a:extLst>
            <a:ext uri="{FF2B5EF4-FFF2-40B4-BE49-F238E27FC236}">
              <a16:creationId xmlns:a16="http://schemas.microsoft.com/office/drawing/2014/main" id="{3D4AE888-6879-471E-AE97-0BB64D18AC91}"/>
            </a:ext>
          </a:extLst>
        </xdr:cNvPr>
        <xdr:cNvSpPr/>
      </xdr:nvSpPr>
      <xdr:spPr>
        <a:xfrm flipV="1">
          <a:off x="9845040" y="7970520"/>
          <a:ext cx="2240280" cy="1767840"/>
        </a:xfrm>
        <a:prstGeom prst="rtTriangle">
          <a:avLst/>
        </a:prstGeom>
        <a:noFill/>
        <a:ln>
          <a:solidFill>
            <a:schemeClr val="bg1">
              <a:lumMod val="85000"/>
              <a:alpha val="0"/>
            </a:schemeClr>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AU" sz="1100"/>
        </a:p>
      </xdr:txBody>
    </xdr:sp>
    <xdr:clientData/>
  </xdr:twoCellAnchor>
  <xdr:twoCellAnchor>
    <xdr:from>
      <xdr:col>5</xdr:col>
      <xdr:colOff>8466</xdr:colOff>
      <xdr:row>29</xdr:row>
      <xdr:rowOff>7620</xdr:rowOff>
    </xdr:from>
    <xdr:to>
      <xdr:col>10</xdr:col>
      <xdr:colOff>16933</xdr:colOff>
      <xdr:row>44</xdr:row>
      <xdr:rowOff>22860</xdr:rowOff>
    </xdr:to>
    <xdr:graphicFrame macro="">
      <xdr:nvGraphicFramePr>
        <xdr:cNvPr id="11" name="Chart 10">
          <a:extLst>
            <a:ext uri="{FF2B5EF4-FFF2-40B4-BE49-F238E27FC236}">
              <a16:creationId xmlns:a16="http://schemas.microsoft.com/office/drawing/2014/main" id="{6955DEC8-19CA-4B96-A850-A010D50587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8467</xdr:colOff>
      <xdr:row>73</xdr:row>
      <xdr:rowOff>193192</xdr:rowOff>
    </xdr:from>
    <xdr:to>
      <xdr:col>10</xdr:col>
      <xdr:colOff>8466</xdr:colOff>
      <xdr:row>84</xdr:row>
      <xdr:rowOff>148087</xdr:rowOff>
    </xdr:to>
    <xdr:graphicFrame macro="">
      <xdr:nvGraphicFramePr>
        <xdr:cNvPr id="12" name="Chart 11">
          <a:extLst>
            <a:ext uri="{FF2B5EF4-FFF2-40B4-BE49-F238E27FC236}">
              <a16:creationId xmlns:a16="http://schemas.microsoft.com/office/drawing/2014/main" id="{94E0A99F-5AC9-4B0B-BE40-F7AAF9208E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866775</xdr:colOff>
      <xdr:row>85</xdr:row>
      <xdr:rowOff>1691</xdr:rowOff>
    </xdr:from>
    <xdr:to>
      <xdr:col>10</xdr:col>
      <xdr:colOff>53339</xdr:colOff>
      <xdr:row>91</xdr:row>
      <xdr:rowOff>237067</xdr:rowOff>
    </xdr:to>
    <xdr:graphicFrame macro="">
      <xdr:nvGraphicFramePr>
        <xdr:cNvPr id="13" name="Chart 12">
          <a:extLst>
            <a:ext uri="{FF2B5EF4-FFF2-40B4-BE49-F238E27FC236}">
              <a16:creationId xmlns:a16="http://schemas.microsoft.com/office/drawing/2014/main" id="{9D3C5EB7-C4B4-48C4-B716-9523601B26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45721</xdr:colOff>
      <xdr:row>108</xdr:row>
      <xdr:rowOff>68580</xdr:rowOff>
    </xdr:from>
    <xdr:to>
      <xdr:col>10</xdr:col>
      <xdr:colOff>16933</xdr:colOff>
      <xdr:row>121</xdr:row>
      <xdr:rowOff>76200</xdr:rowOff>
    </xdr:to>
    <xdr:graphicFrame macro="">
      <xdr:nvGraphicFramePr>
        <xdr:cNvPr id="14" name="Chart 13">
          <a:extLst>
            <a:ext uri="{FF2B5EF4-FFF2-40B4-BE49-F238E27FC236}">
              <a16:creationId xmlns:a16="http://schemas.microsoft.com/office/drawing/2014/main" id="{E1965531-3BF0-404A-B46F-CF13DE3930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220980</xdr:colOff>
      <xdr:row>126</xdr:row>
      <xdr:rowOff>0</xdr:rowOff>
    </xdr:from>
    <xdr:to>
      <xdr:col>7</xdr:col>
      <xdr:colOff>304800</xdr:colOff>
      <xdr:row>140</xdr:row>
      <xdr:rowOff>121920</xdr:rowOff>
    </xdr:to>
    <xdr:graphicFrame macro="">
      <xdr:nvGraphicFramePr>
        <xdr:cNvPr id="15" name="Chart 14">
          <a:extLst>
            <a:ext uri="{FF2B5EF4-FFF2-40B4-BE49-F238E27FC236}">
              <a16:creationId xmlns:a16="http://schemas.microsoft.com/office/drawing/2014/main" id="{198081E6-3256-413F-98E7-90302EEA64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419100</xdr:colOff>
      <xdr:row>125</xdr:row>
      <xdr:rowOff>160867</xdr:rowOff>
    </xdr:from>
    <xdr:to>
      <xdr:col>21</xdr:col>
      <xdr:colOff>464820</xdr:colOff>
      <xdr:row>140</xdr:row>
      <xdr:rowOff>121920</xdr:rowOff>
    </xdr:to>
    <xdr:graphicFrame macro="">
      <xdr:nvGraphicFramePr>
        <xdr:cNvPr id="16" name="Chart 15">
          <a:extLst>
            <a:ext uri="{FF2B5EF4-FFF2-40B4-BE49-F238E27FC236}">
              <a16:creationId xmlns:a16="http://schemas.microsoft.com/office/drawing/2014/main" id="{2B89B333-5CAD-49BF-9EE4-BB4CA1FB96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101600</xdr:colOff>
      <xdr:row>74</xdr:row>
      <xdr:rowOff>8467</xdr:rowOff>
    </xdr:from>
    <xdr:to>
      <xdr:col>3</xdr:col>
      <xdr:colOff>719666</xdr:colOff>
      <xdr:row>84</xdr:row>
      <xdr:rowOff>121919</xdr:rowOff>
    </xdr:to>
    <xdr:graphicFrame macro="">
      <xdr:nvGraphicFramePr>
        <xdr:cNvPr id="18" name="Chart 17">
          <a:extLst>
            <a:ext uri="{FF2B5EF4-FFF2-40B4-BE49-F238E27FC236}">
              <a16:creationId xmlns:a16="http://schemas.microsoft.com/office/drawing/2014/main" id="{ADEC83F3-8843-4D88-A8D5-7B7D7735A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7620</xdr:colOff>
      <xdr:row>44</xdr:row>
      <xdr:rowOff>175260</xdr:rowOff>
    </xdr:from>
    <xdr:to>
      <xdr:col>10</xdr:col>
      <xdr:colOff>24554</xdr:colOff>
      <xdr:row>59</xdr:row>
      <xdr:rowOff>3386</xdr:rowOff>
    </xdr:to>
    <xdr:graphicFrame macro="">
      <xdr:nvGraphicFramePr>
        <xdr:cNvPr id="19" name="Chart 18">
          <a:extLst>
            <a:ext uri="{FF2B5EF4-FFF2-40B4-BE49-F238E27FC236}">
              <a16:creationId xmlns:a16="http://schemas.microsoft.com/office/drawing/2014/main" id="{E4D69FC3-C301-44A0-9BB7-A987432571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873993</xdr:colOff>
      <xdr:row>92</xdr:row>
      <xdr:rowOff>135466</xdr:rowOff>
    </xdr:from>
    <xdr:to>
      <xdr:col>10</xdr:col>
      <xdr:colOff>0</xdr:colOff>
      <xdr:row>100</xdr:row>
      <xdr:rowOff>16933</xdr:rowOff>
    </xdr:to>
    <xdr:graphicFrame macro="">
      <xdr:nvGraphicFramePr>
        <xdr:cNvPr id="20" name="Chart 19">
          <a:extLst>
            <a:ext uri="{FF2B5EF4-FFF2-40B4-BE49-F238E27FC236}">
              <a16:creationId xmlns:a16="http://schemas.microsoft.com/office/drawing/2014/main" id="{97AFEB6D-8FB3-4CC6-8A21-A1A2F734F3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264160</xdr:colOff>
      <xdr:row>6</xdr:row>
      <xdr:rowOff>6774</xdr:rowOff>
    </xdr:from>
    <xdr:to>
      <xdr:col>14</xdr:col>
      <xdr:colOff>8467</xdr:colOff>
      <xdr:row>21</xdr:row>
      <xdr:rowOff>0</xdr:rowOff>
    </xdr:to>
    <xdr:grpSp>
      <xdr:nvGrpSpPr>
        <xdr:cNvPr id="22" name="Group 21">
          <a:extLst>
            <a:ext uri="{FF2B5EF4-FFF2-40B4-BE49-F238E27FC236}">
              <a16:creationId xmlns:a16="http://schemas.microsoft.com/office/drawing/2014/main" id="{212521AE-8495-4BE8-B006-9BE507CD8A3C}"/>
            </a:ext>
          </a:extLst>
        </xdr:cNvPr>
        <xdr:cNvGrpSpPr/>
      </xdr:nvGrpSpPr>
      <xdr:grpSpPr>
        <a:xfrm>
          <a:off x="5843693" y="3241041"/>
          <a:ext cx="8888307" cy="2795692"/>
          <a:chOff x="6075680" y="440528"/>
          <a:chExt cx="8443807" cy="2887980"/>
        </a:xfrm>
      </xdr:grpSpPr>
      <xdr:graphicFrame macro="">
        <xdr:nvGraphicFramePr>
          <xdr:cNvPr id="25" name="Chart 24">
            <a:extLst>
              <a:ext uri="{FF2B5EF4-FFF2-40B4-BE49-F238E27FC236}">
                <a16:creationId xmlns:a16="http://schemas.microsoft.com/office/drawing/2014/main" id="{A64FB13D-5F03-4D3F-B080-0096699EB238}"/>
              </a:ext>
            </a:extLst>
          </xdr:cNvPr>
          <xdr:cNvGraphicFramePr>
            <a:graphicFrameLocks/>
          </xdr:cNvGraphicFramePr>
        </xdr:nvGraphicFramePr>
        <xdr:xfrm>
          <a:off x="6075680" y="440528"/>
          <a:ext cx="8443807" cy="2887980"/>
        </xdr:xfrm>
        <a:graphic>
          <a:graphicData uri="http://schemas.openxmlformats.org/drawingml/2006/chart">
            <c:chart xmlns:c="http://schemas.openxmlformats.org/drawingml/2006/chart" xmlns:r="http://schemas.openxmlformats.org/officeDocument/2006/relationships" r:id="rId10"/>
          </a:graphicData>
        </a:graphic>
      </xdr:graphicFrame>
      <xdr:sp macro="" textlink="">
        <xdr:nvSpPr>
          <xdr:cNvPr id="26" name="TextBox 25">
            <a:extLst>
              <a:ext uri="{FF2B5EF4-FFF2-40B4-BE49-F238E27FC236}">
                <a16:creationId xmlns:a16="http://schemas.microsoft.com/office/drawing/2014/main" id="{2DC77C3F-14CD-4E45-92CC-115AEDB8C041}"/>
              </a:ext>
            </a:extLst>
          </xdr:cNvPr>
          <xdr:cNvSpPr txBox="1"/>
        </xdr:nvSpPr>
        <xdr:spPr>
          <a:xfrm>
            <a:off x="12755457" y="1062221"/>
            <a:ext cx="846666" cy="414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i="0" u="none" strike="noStrike" kern="1200" baseline="0">
                <a:solidFill>
                  <a:schemeClr val="tx1">
                    <a:lumMod val="65000"/>
                    <a:lumOff val="35000"/>
                  </a:schemeClr>
                </a:solidFill>
                <a:latin typeface="+mn-lt"/>
                <a:ea typeface="+mn-ea"/>
                <a:cs typeface="+mn-cs"/>
              </a:rPr>
              <a:t>£128.9 bn</a:t>
            </a:r>
          </a:p>
        </xdr:txBody>
      </xdr:sp>
    </xdr:grpSp>
    <xdr:clientData/>
  </xdr:twoCellAnchor>
  <xdr:twoCellAnchor>
    <xdr:from>
      <xdr:col>12</xdr:col>
      <xdr:colOff>347134</xdr:colOff>
      <xdr:row>12</xdr:row>
      <xdr:rowOff>150707</xdr:rowOff>
    </xdr:from>
    <xdr:to>
      <xdr:col>13</xdr:col>
      <xdr:colOff>584199</xdr:colOff>
      <xdr:row>14</xdr:row>
      <xdr:rowOff>146176</xdr:rowOff>
    </xdr:to>
    <xdr:sp macro="" textlink="">
      <xdr:nvSpPr>
        <xdr:cNvPr id="27" name="TextBox 26">
          <a:extLst>
            <a:ext uri="{FF2B5EF4-FFF2-40B4-BE49-F238E27FC236}">
              <a16:creationId xmlns:a16="http://schemas.microsoft.com/office/drawing/2014/main" id="{3B41F825-CC7E-4B46-AB46-8A3E9EC43ADB}"/>
            </a:ext>
          </a:extLst>
        </xdr:cNvPr>
        <xdr:cNvSpPr txBox="1"/>
      </xdr:nvSpPr>
      <xdr:spPr>
        <a:xfrm>
          <a:off x="13478934" y="3952240"/>
          <a:ext cx="1032932" cy="3680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i="0" u="none" strike="noStrike" kern="1200" baseline="0">
              <a:solidFill>
                <a:schemeClr val="tx1">
                  <a:lumMod val="65000"/>
                  <a:lumOff val="35000"/>
                </a:schemeClr>
              </a:solidFill>
              <a:latin typeface="+mn-lt"/>
              <a:ea typeface="+mn-ea"/>
              <a:cs typeface="+mn-cs"/>
            </a:rPr>
            <a:t>£141.6 bn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160</xdr:row>
      <xdr:rowOff>0</xdr:rowOff>
    </xdr:from>
    <xdr:to>
      <xdr:col>5</xdr:col>
      <xdr:colOff>200660</xdr:colOff>
      <xdr:row>173</xdr:row>
      <xdr:rowOff>17830</xdr:rowOff>
    </xdr:to>
    <xdr:graphicFrame macro="">
      <xdr:nvGraphicFramePr>
        <xdr:cNvPr id="2" name="Chart 1">
          <a:extLst>
            <a:ext uri="{FF2B5EF4-FFF2-40B4-BE49-F238E27FC236}">
              <a16:creationId xmlns:a16="http://schemas.microsoft.com/office/drawing/2014/main" id="{0703C46A-8894-44D9-946A-0E27063C1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0.24239</cdr:x>
      <cdr:y>0.46361</cdr:y>
    </cdr:from>
    <cdr:to>
      <cdr:x>0.60609</cdr:x>
      <cdr:y>0.74972</cdr:y>
    </cdr:to>
    <cdr:grpSp>
      <cdr:nvGrpSpPr>
        <cdr:cNvPr id="5" name="Group 4">
          <a:extLst xmlns:a="http://schemas.openxmlformats.org/drawingml/2006/main">
            <a:ext uri="{FF2B5EF4-FFF2-40B4-BE49-F238E27FC236}">
              <a16:creationId xmlns:a16="http://schemas.microsoft.com/office/drawing/2014/main" id="{5533451B-5821-4453-8A3C-E3F9DD402201}"/>
            </a:ext>
          </a:extLst>
        </cdr:cNvPr>
        <cdr:cNvGrpSpPr/>
      </cdr:nvGrpSpPr>
      <cdr:grpSpPr>
        <a:xfrm xmlns:a="http://schemas.openxmlformats.org/drawingml/2006/main">
          <a:off x="1261509" y="1130882"/>
          <a:ext cx="1892862" cy="697908"/>
          <a:chOff x="995777" y="1254667"/>
          <a:chExt cx="1725935" cy="621582"/>
        </a:xfrm>
      </cdr:grpSpPr>
      <cdr:sp macro="" textlink="">
        <cdr:nvSpPr>
          <cdr:cNvPr id="3" name="Rectangle 2">
            <a:extLst xmlns:a="http://schemas.openxmlformats.org/drawingml/2006/main">
              <a:ext uri="{FF2B5EF4-FFF2-40B4-BE49-F238E27FC236}">
                <a16:creationId xmlns:a16="http://schemas.microsoft.com/office/drawing/2014/main" id="{B0203279-DECD-4765-BB87-7851DFBA7E26}"/>
              </a:ext>
            </a:extLst>
          </cdr:cNvPr>
          <cdr:cNvSpPr/>
        </cdr:nvSpPr>
        <cdr:spPr>
          <a:xfrm xmlns:a="http://schemas.openxmlformats.org/drawingml/2006/main">
            <a:off x="995777" y="1262921"/>
            <a:ext cx="1657934" cy="612738"/>
          </a:xfrm>
          <a:prstGeom xmlns:a="http://schemas.openxmlformats.org/drawingml/2006/main" prst="rect">
            <a:avLst/>
          </a:prstGeom>
          <a:noFill xmlns:a="http://schemas.openxmlformats.org/drawingml/2006/main"/>
          <a:ln xmlns:a="http://schemas.openxmlformats.org/drawingml/2006/main">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4" name="TextBox 3">
            <a:extLst xmlns:a="http://schemas.openxmlformats.org/drawingml/2006/main">
              <a:ext uri="{FF2B5EF4-FFF2-40B4-BE49-F238E27FC236}">
                <a16:creationId xmlns:a16="http://schemas.microsoft.com/office/drawing/2014/main" id="{63726559-20E5-49A6-9C94-4392DF034475}"/>
              </a:ext>
            </a:extLst>
          </cdr:cNvPr>
          <cdr:cNvSpPr txBox="1"/>
        </cdr:nvSpPr>
        <cdr:spPr>
          <a:xfrm xmlns:a="http://schemas.openxmlformats.org/drawingml/2006/main">
            <a:off x="1851498" y="1254667"/>
            <a:ext cx="870214" cy="6215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chemeClr val="tx1">
                    <a:lumMod val="85000"/>
                    <a:lumOff val="15000"/>
                  </a:schemeClr>
                </a:solidFill>
              </a:rPr>
              <a:t>Subject to Brexit negotiations</a:t>
            </a:r>
          </a:p>
        </cdr:txBody>
      </cdr:sp>
    </cdr:grpSp>
  </cdr:relSizeAnchor>
</c:userShapes>
</file>

<file path=xl/drawings/drawing19.xml><?xml version="1.0" encoding="utf-8"?>
<xdr:wsDr xmlns:xdr="http://schemas.openxmlformats.org/drawingml/2006/spreadsheetDrawing" xmlns:a="http://schemas.openxmlformats.org/drawingml/2006/main">
  <xdr:twoCellAnchor>
    <xdr:from>
      <xdr:col>22</xdr:col>
      <xdr:colOff>0</xdr:colOff>
      <xdr:row>21</xdr:row>
      <xdr:rowOff>0</xdr:rowOff>
    </xdr:from>
    <xdr:to>
      <xdr:col>31</xdr:col>
      <xdr:colOff>440267</xdr:colOff>
      <xdr:row>24</xdr:row>
      <xdr:rowOff>0</xdr:rowOff>
    </xdr:to>
    <xdr:graphicFrame macro="">
      <xdr:nvGraphicFramePr>
        <xdr:cNvPr id="22" name="Chart 21">
          <a:extLst>
            <a:ext uri="{FF2B5EF4-FFF2-40B4-BE49-F238E27FC236}">
              <a16:creationId xmlns:a16="http://schemas.microsoft.com/office/drawing/2014/main" id="{3B237911-E47F-4EB6-A765-CF3A034B0E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0.21213</cdr:x>
      <cdr:y>0.48367</cdr:y>
    </cdr:from>
    <cdr:to>
      <cdr:x>0.55924</cdr:x>
      <cdr:y>0.71904</cdr:y>
    </cdr:to>
    <cdr:grpSp>
      <cdr:nvGrpSpPr>
        <cdr:cNvPr id="5" name="Group 4">
          <a:extLst xmlns:a="http://schemas.openxmlformats.org/drawingml/2006/main">
            <a:ext uri="{FF2B5EF4-FFF2-40B4-BE49-F238E27FC236}">
              <a16:creationId xmlns:a16="http://schemas.microsoft.com/office/drawing/2014/main" id="{5533451B-5821-4453-8A3C-E3F9DD402201}"/>
            </a:ext>
          </a:extLst>
        </cdr:cNvPr>
        <cdr:cNvGrpSpPr/>
      </cdr:nvGrpSpPr>
      <cdr:grpSpPr>
        <a:xfrm xmlns:a="http://schemas.openxmlformats.org/drawingml/2006/main">
          <a:off x="1104920" y="1201109"/>
          <a:ext cx="1807989" cy="584500"/>
          <a:chOff x="988156" y="1232282"/>
          <a:chExt cx="1657934" cy="696991"/>
        </a:xfrm>
      </cdr:grpSpPr>
      <cdr:sp macro="" textlink="">
        <cdr:nvSpPr>
          <cdr:cNvPr id="3" name="Rectangle 2">
            <a:extLst xmlns:a="http://schemas.openxmlformats.org/drawingml/2006/main">
              <a:ext uri="{FF2B5EF4-FFF2-40B4-BE49-F238E27FC236}">
                <a16:creationId xmlns:a16="http://schemas.microsoft.com/office/drawing/2014/main" id="{B0203279-DECD-4765-BB87-7851DFBA7E26}"/>
              </a:ext>
            </a:extLst>
          </cdr:cNvPr>
          <cdr:cNvSpPr/>
        </cdr:nvSpPr>
        <cdr:spPr>
          <a:xfrm xmlns:a="http://schemas.openxmlformats.org/drawingml/2006/main">
            <a:off x="995777" y="1262921"/>
            <a:ext cx="1657934" cy="612738"/>
          </a:xfrm>
          <a:prstGeom xmlns:a="http://schemas.openxmlformats.org/drawingml/2006/main" prst="rect">
            <a:avLst/>
          </a:prstGeom>
          <a:noFill xmlns:a="http://schemas.openxmlformats.org/drawingml/2006/main"/>
          <a:ln xmlns:a="http://schemas.openxmlformats.org/drawingml/2006/main">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4" name="TextBox 3">
            <a:extLst xmlns:a="http://schemas.openxmlformats.org/drawingml/2006/main">
              <a:ext uri="{FF2B5EF4-FFF2-40B4-BE49-F238E27FC236}">
                <a16:creationId xmlns:a16="http://schemas.microsoft.com/office/drawing/2014/main" id="{63726559-20E5-49A6-9C94-4392DF034475}"/>
              </a:ext>
            </a:extLst>
          </cdr:cNvPr>
          <cdr:cNvSpPr txBox="1"/>
        </cdr:nvSpPr>
        <cdr:spPr>
          <a:xfrm xmlns:a="http://schemas.openxmlformats.org/drawingml/2006/main">
            <a:off x="1982500" y="1254667"/>
            <a:ext cx="739212" cy="6215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chemeClr val="tx1">
                    <a:lumMod val="85000"/>
                    <a:lumOff val="15000"/>
                  </a:schemeClr>
                </a:solidFill>
              </a:rPr>
              <a:t>The EU Customs</a:t>
            </a:r>
            <a:r>
              <a:rPr lang="en-AU" sz="1100" b="1" baseline="0">
                <a:solidFill>
                  <a:schemeClr val="tx1">
                    <a:lumMod val="85000"/>
                    <a:lumOff val="15000"/>
                  </a:schemeClr>
                </a:solidFill>
              </a:rPr>
              <a:t> Union</a:t>
            </a:r>
            <a:endParaRPr lang="en-AU" sz="1100" b="1">
              <a:solidFill>
                <a:schemeClr val="tx1">
                  <a:lumMod val="85000"/>
                  <a:lumOff val="15000"/>
                </a:schemeClr>
              </a:solidFill>
            </a:endParaRPr>
          </a:p>
        </cdr:txBody>
      </cdr:sp>
    </cdr:grpSp>
  </cdr:relSizeAnchor>
</c:userShapes>
</file>

<file path=xl/drawings/drawing3.xml><?xml version="1.0" encoding="utf-8"?>
<c:userShapes xmlns:c="http://schemas.openxmlformats.org/drawingml/2006/chart">
  <cdr:relSizeAnchor xmlns:cdr="http://schemas.openxmlformats.org/drawingml/2006/chartDrawing">
    <cdr:from>
      <cdr:x>0.12642</cdr:x>
      <cdr:y>0.43852</cdr:y>
    </cdr:from>
    <cdr:to>
      <cdr:x>0.56729</cdr:x>
      <cdr:y>0.69349</cdr:y>
    </cdr:to>
    <cdr:grpSp>
      <cdr:nvGrpSpPr>
        <cdr:cNvPr id="8" name="Group 7">
          <a:extLst xmlns:a="http://schemas.openxmlformats.org/drawingml/2006/main">
            <a:ext uri="{FF2B5EF4-FFF2-40B4-BE49-F238E27FC236}">
              <a16:creationId xmlns:a16="http://schemas.microsoft.com/office/drawing/2014/main" id="{CE9EEC01-E575-4DF0-BCC9-4C9691E2F6FD}"/>
            </a:ext>
          </a:extLst>
        </cdr:cNvPr>
        <cdr:cNvGrpSpPr/>
      </cdr:nvGrpSpPr>
      <cdr:grpSpPr>
        <a:xfrm xmlns:a="http://schemas.openxmlformats.org/drawingml/2006/main">
          <a:off x="720564" y="1085251"/>
          <a:ext cx="2512853" cy="631002"/>
          <a:chOff x="697653" y="1065953"/>
          <a:chExt cx="2489200" cy="619760"/>
        </a:xfrm>
      </cdr:grpSpPr>
      <cdr:sp macro="" textlink="">
        <cdr:nvSpPr>
          <cdr:cNvPr id="6" name="Rectangle 5">
            <a:extLst xmlns:a="http://schemas.openxmlformats.org/drawingml/2006/main">
              <a:ext uri="{FF2B5EF4-FFF2-40B4-BE49-F238E27FC236}">
                <a16:creationId xmlns:a16="http://schemas.microsoft.com/office/drawing/2014/main" id="{DB0B8D3B-D36B-4DE5-A67F-79D29FADFDA7}"/>
              </a:ext>
            </a:extLst>
          </cdr:cNvPr>
          <cdr:cNvSpPr/>
        </cdr:nvSpPr>
        <cdr:spPr>
          <a:xfrm xmlns:a="http://schemas.openxmlformats.org/drawingml/2006/main">
            <a:off x="697653" y="1106779"/>
            <a:ext cx="2489200" cy="578934"/>
          </a:xfrm>
          <a:prstGeom xmlns:a="http://schemas.openxmlformats.org/drawingml/2006/main" prst="rect">
            <a:avLst/>
          </a:prstGeom>
          <a:noFill xmlns:a="http://schemas.openxmlformats.org/drawingml/2006/main"/>
          <a:ln xmlns:a="http://schemas.openxmlformats.org/drawingml/2006/main">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7" name="TextBox 3">
            <a:extLst xmlns:a="http://schemas.openxmlformats.org/drawingml/2006/main">
              <a:ext uri="{FF2B5EF4-FFF2-40B4-BE49-F238E27FC236}">
                <a16:creationId xmlns:a16="http://schemas.microsoft.com/office/drawing/2014/main" id="{71C6AB51-3AE0-4540-9259-B7B7AD9367E7}"/>
              </a:ext>
            </a:extLst>
          </cdr:cNvPr>
          <cdr:cNvSpPr txBox="1"/>
        </cdr:nvSpPr>
        <cdr:spPr>
          <a:xfrm xmlns:a="http://schemas.openxmlformats.org/drawingml/2006/main">
            <a:off x="934720" y="1065953"/>
            <a:ext cx="2015066" cy="2312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chemeClr val="tx1">
                    <a:lumMod val="75000"/>
                    <a:lumOff val="25000"/>
                  </a:schemeClr>
                </a:solidFill>
              </a:rPr>
              <a:t>The EU Customs</a:t>
            </a:r>
            <a:r>
              <a:rPr lang="en-AU" sz="1100" b="1" baseline="0">
                <a:solidFill>
                  <a:schemeClr val="tx1">
                    <a:lumMod val="75000"/>
                    <a:lumOff val="25000"/>
                  </a:schemeClr>
                </a:solidFill>
              </a:rPr>
              <a:t> Union</a:t>
            </a:r>
            <a:endParaRPr lang="en-AU" sz="1100" b="1">
              <a:solidFill>
                <a:schemeClr val="tx1">
                  <a:lumMod val="75000"/>
                  <a:lumOff val="25000"/>
                </a:schemeClr>
              </a:solidFill>
            </a:endParaRPr>
          </a:p>
        </cdr:txBody>
      </cdr:sp>
    </cdr:grpSp>
  </cdr:relSizeAnchor>
</c:userShapes>
</file>

<file path=xl/drawings/drawing4.xml><?xml version="1.0" encoding="utf-8"?>
<c:userShapes xmlns:c="http://schemas.openxmlformats.org/drawingml/2006/chart">
  <cdr:relSizeAnchor xmlns:cdr="http://schemas.openxmlformats.org/drawingml/2006/chartDrawing">
    <cdr:from>
      <cdr:x>0.11087</cdr:x>
      <cdr:y>0.86773</cdr:y>
    </cdr:from>
    <cdr:to>
      <cdr:x>0.21901</cdr:x>
      <cdr:y>0.92753</cdr:y>
    </cdr:to>
    <cdr:sp macro="" textlink="">
      <cdr:nvSpPr>
        <cdr:cNvPr id="8" name="TextBox 1">
          <a:extLst xmlns:a="http://schemas.openxmlformats.org/drawingml/2006/main">
            <a:ext uri="{FF2B5EF4-FFF2-40B4-BE49-F238E27FC236}">
              <a16:creationId xmlns:a16="http://schemas.microsoft.com/office/drawing/2014/main" id="{CDE2037E-35F5-40BB-B70D-D7DF213E076A}"/>
            </a:ext>
          </a:extLst>
        </cdr:cNvPr>
        <cdr:cNvSpPr txBox="1"/>
      </cdr:nvSpPr>
      <cdr:spPr>
        <a:xfrm xmlns:a="http://schemas.openxmlformats.org/drawingml/2006/main">
          <a:off x="635911" y="2752288"/>
          <a:ext cx="620263" cy="18967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b="1">
              <a:solidFill>
                <a:schemeClr val="tx1">
                  <a:lumMod val="85000"/>
                  <a:lumOff val="15000"/>
                </a:schemeClr>
              </a:solidFill>
            </a:rPr>
            <a:t>Zero</a:t>
          </a:r>
        </a:p>
      </cdr:txBody>
    </cdr:sp>
  </cdr:relSizeAnchor>
  <cdr:relSizeAnchor xmlns:cdr="http://schemas.openxmlformats.org/drawingml/2006/chartDrawing">
    <cdr:from>
      <cdr:x>0.09781</cdr:x>
      <cdr:y>0.81485</cdr:y>
    </cdr:from>
    <cdr:to>
      <cdr:x>0.94521</cdr:x>
      <cdr:y>0.94109</cdr:y>
    </cdr:to>
    <cdr:grpSp>
      <cdr:nvGrpSpPr>
        <cdr:cNvPr id="13" name="Group 12">
          <a:extLst xmlns:a="http://schemas.openxmlformats.org/drawingml/2006/main">
            <a:ext uri="{FF2B5EF4-FFF2-40B4-BE49-F238E27FC236}">
              <a16:creationId xmlns:a16="http://schemas.microsoft.com/office/drawing/2014/main" id="{A17CD12E-06A5-4BF1-8AA2-D85A31D8AA8F}"/>
            </a:ext>
          </a:extLst>
        </cdr:cNvPr>
        <cdr:cNvGrpSpPr/>
      </cdr:nvGrpSpPr>
      <cdr:grpSpPr>
        <a:xfrm xmlns:a="http://schemas.openxmlformats.org/drawingml/2006/main">
          <a:off x="559564" y="2603535"/>
          <a:ext cx="4847914" cy="403350"/>
          <a:chOff x="601134" y="2443596"/>
          <a:chExt cx="4842933" cy="447884"/>
        </a:xfrm>
        <a:gradFill xmlns:a="http://schemas.openxmlformats.org/drawingml/2006/main">
          <a:gsLst>
            <a:gs pos="100000">
              <a:srgbClr val="C00000"/>
            </a:gs>
            <a:gs pos="33000">
              <a:schemeClr val="accent1">
                <a:lumMod val="45000"/>
                <a:lumOff val="55000"/>
              </a:schemeClr>
            </a:gs>
            <a:gs pos="0">
              <a:schemeClr val="accent1">
                <a:lumMod val="45000"/>
                <a:lumOff val="55000"/>
              </a:schemeClr>
            </a:gs>
            <a:gs pos="0">
              <a:srgbClr val="002060"/>
            </a:gs>
          </a:gsLst>
          <a:lin ang="0" scaled="1"/>
        </a:gradFill>
      </cdr:grpSpPr>
      <cdr:sp macro="" textlink="">
        <cdr:nvSpPr>
          <cdr:cNvPr id="2" name="Rectangle 1">
            <a:extLst xmlns:a="http://schemas.openxmlformats.org/drawingml/2006/main">
              <a:ext uri="{FF2B5EF4-FFF2-40B4-BE49-F238E27FC236}">
                <a16:creationId xmlns:a16="http://schemas.microsoft.com/office/drawing/2014/main" id="{D5022144-503B-4E64-A10D-6E586295C08B}"/>
              </a:ext>
            </a:extLst>
          </cdr:cNvPr>
          <cdr:cNvSpPr/>
        </cdr:nvSpPr>
        <cdr:spPr>
          <a:xfrm xmlns:a="http://schemas.openxmlformats.org/drawingml/2006/main">
            <a:off x="601134" y="2443596"/>
            <a:ext cx="4732866" cy="165000"/>
          </a:xfrm>
          <a:prstGeom xmlns:a="http://schemas.openxmlformats.org/drawingml/2006/main" prst="rect">
            <a:avLst/>
          </a:prstGeom>
          <a:grpFill xmlns:a="http://schemas.openxmlformats.org/drawingml/2006/main"/>
          <a:ln xmlns:a="http://schemas.openxmlformats.org/drawingml/2006/main" w="9525" cap="flat" cmpd="sng" algn="ctr">
            <a:solidFill>
              <a:schemeClr val="dk1"/>
            </a:solidFill>
            <a:prstDash val="solid"/>
            <a:round/>
            <a:headEnd type="none" w="med" len="med"/>
            <a:tailEnd type="none" w="med" len="med"/>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lang="en-AU" sz="1100">
              <a:solidFill>
                <a:schemeClr val="tx1">
                  <a:lumMod val="85000"/>
                  <a:lumOff val="15000"/>
                </a:schemeClr>
              </a:solidFill>
            </a:endParaRPr>
          </a:p>
        </cdr:txBody>
      </cdr:sp>
      <cdr:sp macro="" textlink="">
        <cdr:nvSpPr>
          <cdr:cNvPr id="3" name="TextBox 2">
            <a:extLst xmlns:a="http://schemas.openxmlformats.org/drawingml/2006/main">
              <a:ext uri="{FF2B5EF4-FFF2-40B4-BE49-F238E27FC236}">
                <a16:creationId xmlns:a16="http://schemas.microsoft.com/office/drawing/2014/main" id="{0BFA8B36-D0AB-48E4-A3EB-8E0A95FA3970}"/>
              </a:ext>
            </a:extLst>
          </cdr:cNvPr>
          <cdr:cNvSpPr txBox="1"/>
        </cdr:nvSpPr>
        <cdr:spPr>
          <a:xfrm xmlns:a="http://schemas.openxmlformats.org/drawingml/2006/main">
            <a:off x="2075754" y="2669884"/>
            <a:ext cx="2169645" cy="22159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nchor="ctr"/>
          <a:lstStyle xmlns:a="http://schemas.openxmlformats.org/drawingml/2006/main"/>
          <a:p xmlns:a="http://schemas.openxmlformats.org/drawingml/2006/main">
            <a:r>
              <a:rPr lang="en-AU" sz="1000" b="1">
                <a:solidFill>
                  <a:schemeClr val="tx1">
                    <a:lumMod val="85000"/>
                    <a:lumOff val="15000"/>
                  </a:schemeClr>
                </a:solidFill>
              </a:rPr>
              <a:t>Impact of EU Single Market</a:t>
            </a:r>
          </a:p>
        </cdr:txBody>
      </cdr:sp>
      <cdr:cxnSp macro="">
        <cdr:nvCxnSpPr>
          <cdr:cNvPr id="5" name="Straight Arrow Connector 4">
            <a:extLst xmlns:a="http://schemas.openxmlformats.org/drawingml/2006/main">
              <a:ext uri="{FF2B5EF4-FFF2-40B4-BE49-F238E27FC236}">
                <a16:creationId xmlns:a16="http://schemas.microsoft.com/office/drawing/2014/main" id="{5B4D5C4E-9055-4404-8D0F-45DBA2F64A45}"/>
              </a:ext>
            </a:extLst>
          </cdr:cNvPr>
          <cdr:cNvCxnSpPr/>
        </cdr:nvCxnSpPr>
        <cdr:spPr>
          <a:xfrm xmlns:a="http://schemas.openxmlformats.org/drawingml/2006/main">
            <a:off x="3733800" y="2757884"/>
            <a:ext cx="1032934" cy="0"/>
          </a:xfrm>
          <a:prstGeom xmlns:a="http://schemas.openxmlformats.org/drawingml/2006/main" prst="straightConnector1">
            <a:avLst/>
          </a:prstGeom>
          <a:grpFill xmlns:a="http://schemas.openxmlformats.org/drawingml/2006/main"/>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7" name="TextBox 6">
            <a:extLst xmlns:a="http://schemas.openxmlformats.org/drawingml/2006/main">
              <a:ext uri="{FF2B5EF4-FFF2-40B4-BE49-F238E27FC236}">
                <a16:creationId xmlns:a16="http://schemas.microsoft.com/office/drawing/2014/main" id="{C4CC2F83-B918-49A5-A7A9-3A6C118AEDCF}"/>
              </a:ext>
            </a:extLst>
          </cdr:cNvPr>
          <cdr:cNvSpPr txBox="1"/>
        </cdr:nvSpPr>
        <cdr:spPr>
          <a:xfrm xmlns:a="http://schemas.openxmlformats.org/drawingml/2006/main">
            <a:off x="4825999" y="2624311"/>
            <a:ext cx="618068" cy="21214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AU" sz="1100" b="1">
                <a:solidFill>
                  <a:schemeClr val="tx1">
                    <a:lumMod val="85000"/>
                    <a:lumOff val="15000"/>
                  </a:schemeClr>
                </a:solidFill>
              </a:rPr>
              <a:t>Total</a:t>
            </a:r>
          </a:p>
        </cdr:txBody>
      </cdr:sp>
      <cdr:cxnSp macro="">
        <cdr:nvCxnSpPr>
          <cdr:cNvPr id="10" name="Straight Arrow Connector 9">
            <a:extLst xmlns:a="http://schemas.openxmlformats.org/drawingml/2006/main">
              <a:ext uri="{FF2B5EF4-FFF2-40B4-BE49-F238E27FC236}">
                <a16:creationId xmlns:a16="http://schemas.microsoft.com/office/drawing/2014/main" id="{2B88466C-011E-4157-9F11-4803FBD3A3B9}"/>
              </a:ext>
            </a:extLst>
          </cdr:cNvPr>
          <cdr:cNvCxnSpPr/>
        </cdr:nvCxnSpPr>
        <cdr:spPr>
          <a:xfrm xmlns:a="http://schemas.openxmlformats.org/drawingml/2006/main" flipH="1" flipV="1">
            <a:off x="1168400" y="2750027"/>
            <a:ext cx="855134" cy="7857"/>
          </a:xfrm>
          <a:prstGeom xmlns:a="http://schemas.openxmlformats.org/drawingml/2006/main" prst="straightConnector1">
            <a:avLst/>
          </a:prstGeom>
          <a:grpFill xmlns:a="http://schemas.openxmlformats.org/drawingml/2006/main"/>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0.7426</cdr:x>
      <cdr:y>0.21068</cdr:y>
    </cdr:from>
    <cdr:to>
      <cdr:x>0.97068</cdr:x>
      <cdr:y>0.68515</cdr:y>
    </cdr:to>
    <cdr:grpSp>
      <cdr:nvGrpSpPr>
        <cdr:cNvPr id="14" name="Group 13">
          <a:extLst xmlns:a="http://schemas.openxmlformats.org/drawingml/2006/main">
            <a:ext uri="{FF2B5EF4-FFF2-40B4-BE49-F238E27FC236}">
              <a16:creationId xmlns:a16="http://schemas.microsoft.com/office/drawing/2014/main" id="{6D85EE82-A8E9-4445-BEB7-1E8FCA958BA0}"/>
            </a:ext>
          </a:extLst>
        </cdr:cNvPr>
        <cdr:cNvGrpSpPr/>
      </cdr:nvGrpSpPr>
      <cdr:grpSpPr>
        <a:xfrm xmlns:a="http://schemas.openxmlformats.org/drawingml/2006/main">
          <a:off x="4248361" y="673146"/>
          <a:ext cx="1304829" cy="1515983"/>
          <a:chOff x="4207934" y="1166203"/>
          <a:chExt cx="1422400" cy="1475396"/>
        </a:xfrm>
      </cdr:grpSpPr>
      <cdr:sp macro="" textlink="">
        <cdr:nvSpPr>
          <cdr:cNvPr id="11" name="Rectangle 10">
            <a:extLst xmlns:a="http://schemas.openxmlformats.org/drawingml/2006/main">
              <a:ext uri="{FF2B5EF4-FFF2-40B4-BE49-F238E27FC236}">
                <a16:creationId xmlns:a16="http://schemas.microsoft.com/office/drawing/2014/main" id="{B58DCC57-33AB-4BBF-8241-1D326CE6C3B4}"/>
              </a:ext>
            </a:extLst>
          </cdr:cNvPr>
          <cdr:cNvSpPr/>
        </cdr:nvSpPr>
        <cdr:spPr>
          <a:xfrm xmlns:a="http://schemas.openxmlformats.org/drawingml/2006/main">
            <a:off x="4207934" y="1176867"/>
            <a:ext cx="1422400" cy="1464732"/>
          </a:xfrm>
          <a:prstGeom xmlns:a="http://schemas.openxmlformats.org/drawingml/2006/main" prst="rect">
            <a:avLst/>
          </a:prstGeom>
          <a:noFill xmlns:a="http://schemas.openxmlformats.org/drawingml/2006/main"/>
          <a:ln xmlns:a="http://schemas.openxmlformats.org/drawingml/2006/main">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2" name="TextBox 11">
            <a:extLst xmlns:a="http://schemas.openxmlformats.org/drawingml/2006/main">
              <a:ext uri="{FF2B5EF4-FFF2-40B4-BE49-F238E27FC236}">
                <a16:creationId xmlns:a16="http://schemas.microsoft.com/office/drawing/2014/main" id="{CF23DC53-7C20-4967-83BE-33AB1A7464C0}"/>
              </a:ext>
            </a:extLst>
          </cdr:cNvPr>
          <cdr:cNvSpPr txBox="1"/>
        </cdr:nvSpPr>
        <cdr:spPr>
          <a:xfrm xmlns:a="http://schemas.openxmlformats.org/drawingml/2006/main">
            <a:off x="4327643" y="1166203"/>
            <a:ext cx="1255062" cy="677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1200" b="1">
                <a:solidFill>
                  <a:schemeClr val="tx1">
                    <a:lumMod val="85000"/>
                    <a:lumOff val="15000"/>
                  </a:schemeClr>
                </a:solidFill>
              </a:rPr>
              <a:t>The EU Customs</a:t>
            </a:r>
            <a:r>
              <a:rPr lang="en-AU" sz="1200" b="1" baseline="0">
                <a:solidFill>
                  <a:schemeClr val="tx1">
                    <a:lumMod val="85000"/>
                    <a:lumOff val="15000"/>
                  </a:schemeClr>
                </a:solidFill>
              </a:rPr>
              <a:t> Union</a:t>
            </a:r>
            <a:endParaRPr lang="en-AU" sz="1200" b="1">
              <a:solidFill>
                <a:schemeClr val="tx1">
                  <a:lumMod val="85000"/>
                  <a:lumOff val="15000"/>
                </a:schemeClr>
              </a:solidFill>
            </a:endParaRPr>
          </a:p>
        </cdr:txBody>
      </cdr:sp>
    </cdr:grpSp>
  </cdr:relSizeAnchor>
</c:userShapes>
</file>

<file path=xl/drawings/drawing5.xml><?xml version="1.0" encoding="utf-8"?>
<c:userShapes xmlns:c="http://schemas.openxmlformats.org/drawingml/2006/chart">
  <cdr:relSizeAnchor xmlns:cdr="http://schemas.openxmlformats.org/drawingml/2006/chartDrawing">
    <cdr:from>
      <cdr:x>0.10134</cdr:x>
      <cdr:y>0.73832</cdr:y>
    </cdr:from>
    <cdr:to>
      <cdr:x>0.94874</cdr:x>
      <cdr:y>0.86538</cdr:y>
    </cdr:to>
    <cdr:grpSp>
      <cdr:nvGrpSpPr>
        <cdr:cNvPr id="15" name="Group 14">
          <a:extLst xmlns:a="http://schemas.openxmlformats.org/drawingml/2006/main">
            <a:ext uri="{FF2B5EF4-FFF2-40B4-BE49-F238E27FC236}">
              <a16:creationId xmlns:a16="http://schemas.microsoft.com/office/drawing/2014/main" id="{0CF0CC48-1A15-4FE7-9429-99CC8F7A00B8}"/>
            </a:ext>
          </a:extLst>
        </cdr:cNvPr>
        <cdr:cNvGrpSpPr/>
      </cdr:nvGrpSpPr>
      <cdr:grpSpPr>
        <a:xfrm xmlns:a="http://schemas.openxmlformats.org/drawingml/2006/main">
          <a:off x="573753" y="2631092"/>
          <a:ext cx="4797690" cy="452793"/>
          <a:chOff x="601134" y="2866929"/>
          <a:chExt cx="4842933" cy="450775"/>
        </a:xfrm>
      </cdr:grpSpPr>
      <cdr:sp macro="" textlink="">
        <cdr:nvSpPr>
          <cdr:cNvPr id="8" name="TextBox 1">
            <a:extLst xmlns:a="http://schemas.openxmlformats.org/drawingml/2006/main">
              <a:ext uri="{FF2B5EF4-FFF2-40B4-BE49-F238E27FC236}">
                <a16:creationId xmlns:a16="http://schemas.microsoft.com/office/drawing/2014/main" id="{CDE2037E-35F5-40BB-B70D-D7DF213E076A}"/>
              </a:ext>
            </a:extLst>
          </cdr:cNvPr>
          <cdr:cNvSpPr txBox="1"/>
        </cdr:nvSpPr>
        <cdr:spPr>
          <a:xfrm xmlns:a="http://schemas.openxmlformats.org/drawingml/2006/main">
            <a:off x="702732" y="3037350"/>
            <a:ext cx="618068" cy="2121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b="1">
                <a:solidFill>
                  <a:schemeClr val="bg2">
                    <a:lumMod val="25000"/>
                  </a:schemeClr>
                </a:solidFill>
              </a:rPr>
              <a:t>Zero</a:t>
            </a:r>
          </a:p>
        </cdr:txBody>
      </cdr:sp>
      <cdr:grpSp>
        <cdr:nvGrpSpPr>
          <cdr:cNvPr id="13" name="Group 12">
            <a:extLst xmlns:a="http://schemas.openxmlformats.org/drawingml/2006/main">
              <a:ext uri="{FF2B5EF4-FFF2-40B4-BE49-F238E27FC236}">
                <a16:creationId xmlns:a16="http://schemas.microsoft.com/office/drawing/2014/main" id="{A17CD12E-06A5-4BF1-8AA2-D85A31D8AA8F}"/>
              </a:ext>
            </a:extLst>
          </cdr:cNvPr>
          <cdr:cNvGrpSpPr/>
        </cdr:nvGrpSpPr>
        <cdr:grpSpPr>
          <a:xfrm xmlns:a="http://schemas.openxmlformats.org/drawingml/2006/main">
            <a:off x="601134" y="2866929"/>
            <a:ext cx="4842933" cy="450775"/>
            <a:chOff x="601134" y="2443596"/>
            <a:chExt cx="4842933" cy="450775"/>
          </a:xfrm>
        </cdr:grpSpPr>
        <cdr:sp macro="" textlink="">
          <cdr:nvSpPr>
            <cdr:cNvPr id="2" name="Rectangle 1">
              <a:extLst xmlns:a="http://schemas.openxmlformats.org/drawingml/2006/main">
                <a:ext uri="{FF2B5EF4-FFF2-40B4-BE49-F238E27FC236}">
                  <a16:creationId xmlns:a16="http://schemas.microsoft.com/office/drawing/2014/main" id="{D5022144-503B-4E64-A10D-6E586295C08B}"/>
                </a:ext>
              </a:extLst>
            </cdr:cNvPr>
            <cdr:cNvSpPr/>
          </cdr:nvSpPr>
          <cdr:spPr>
            <a:xfrm xmlns:a="http://schemas.openxmlformats.org/drawingml/2006/main">
              <a:off x="601134" y="2443596"/>
              <a:ext cx="4732866" cy="165000"/>
            </a:xfrm>
            <a:prstGeom xmlns:a="http://schemas.openxmlformats.org/drawingml/2006/main" prst="rect">
              <a:avLst/>
            </a:prstGeom>
            <a:gradFill xmlns:a="http://schemas.openxmlformats.org/drawingml/2006/main" flip="none" rotWithShape="1">
              <a:gsLst>
                <a:gs pos="100000">
                  <a:srgbClr val="C00000"/>
                </a:gs>
                <a:gs pos="34000">
                  <a:schemeClr val="accent1">
                    <a:lumMod val="45000"/>
                    <a:lumOff val="55000"/>
                  </a:schemeClr>
                </a:gs>
                <a:gs pos="0">
                  <a:schemeClr val="accent1">
                    <a:lumMod val="45000"/>
                    <a:lumOff val="55000"/>
                  </a:schemeClr>
                </a:gs>
                <a:gs pos="0">
                  <a:srgbClr val="002060"/>
                </a:gs>
              </a:gsLst>
              <a:lin ang="0" scaled="1"/>
              <a:tileRect/>
            </a:gradFill>
            <a:ln xmlns:a="http://schemas.openxmlformats.org/drawingml/2006/main" w="9525" cap="flat" cmpd="sng" algn="ctr">
              <a:solidFill>
                <a:schemeClr val="dk1"/>
              </a:solidFill>
              <a:prstDash val="solid"/>
              <a:round/>
              <a:headEnd type="none" w="med" len="med"/>
              <a:tailEnd type="none" w="med" len="med"/>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lang="en-AU" sz="1100"/>
            </a:p>
          </cdr:txBody>
        </cdr:sp>
        <cdr:sp macro="" textlink="">
          <cdr:nvSpPr>
            <cdr:cNvPr id="3" name="TextBox 2">
              <a:extLst xmlns:a="http://schemas.openxmlformats.org/drawingml/2006/main">
                <a:ext uri="{FF2B5EF4-FFF2-40B4-BE49-F238E27FC236}">
                  <a16:creationId xmlns:a16="http://schemas.microsoft.com/office/drawing/2014/main" id="{0BFA8B36-D0AB-48E4-A3EB-8E0A95FA3970}"/>
                </a:ext>
              </a:extLst>
            </cdr:cNvPr>
            <cdr:cNvSpPr txBox="1"/>
          </cdr:nvSpPr>
          <cdr:spPr>
            <a:xfrm xmlns:a="http://schemas.openxmlformats.org/drawingml/2006/main">
              <a:off x="1942012" y="2669884"/>
              <a:ext cx="1952657" cy="22448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n-AU" sz="1100" b="1">
                  <a:solidFill>
                    <a:schemeClr val="bg2">
                      <a:lumMod val="25000"/>
                    </a:schemeClr>
                  </a:solidFill>
                </a:rPr>
                <a:t>Impact of EU Single Market</a:t>
              </a:r>
            </a:p>
          </cdr:txBody>
        </cdr:sp>
        <cdr:cxnSp macro="">
          <cdr:nvCxnSpPr>
            <cdr:cNvPr id="5" name="Straight Arrow Connector 4">
              <a:extLst xmlns:a="http://schemas.openxmlformats.org/drawingml/2006/main">
                <a:ext uri="{FF2B5EF4-FFF2-40B4-BE49-F238E27FC236}">
                  <a16:creationId xmlns:a16="http://schemas.microsoft.com/office/drawing/2014/main" id="{5B4D5C4E-9055-4404-8D0F-45DBA2F64A45}"/>
                </a:ext>
              </a:extLst>
            </cdr:cNvPr>
            <cdr:cNvCxnSpPr/>
          </cdr:nvCxnSpPr>
          <cdr:spPr>
            <a:xfrm xmlns:a="http://schemas.openxmlformats.org/drawingml/2006/main">
              <a:off x="3733800" y="2757884"/>
              <a:ext cx="1032934" cy="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7" name="TextBox 6">
              <a:extLst xmlns:a="http://schemas.openxmlformats.org/drawingml/2006/main">
                <a:ext uri="{FF2B5EF4-FFF2-40B4-BE49-F238E27FC236}">
                  <a16:creationId xmlns:a16="http://schemas.microsoft.com/office/drawing/2014/main" id="{C4CC2F83-B918-49A5-A7A9-3A6C118AEDCF}"/>
                </a:ext>
              </a:extLst>
            </cdr:cNvPr>
            <cdr:cNvSpPr txBox="1"/>
          </cdr:nvSpPr>
          <cdr:spPr>
            <a:xfrm xmlns:a="http://schemas.openxmlformats.org/drawingml/2006/main">
              <a:off x="4825999" y="2624311"/>
              <a:ext cx="618068" cy="2121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100" b="1">
                  <a:solidFill>
                    <a:schemeClr val="bg2">
                      <a:lumMod val="25000"/>
                    </a:schemeClr>
                  </a:solidFill>
                </a:rPr>
                <a:t>Total</a:t>
              </a:r>
            </a:p>
          </cdr:txBody>
        </cdr:sp>
        <cdr:cxnSp macro="">
          <cdr:nvCxnSpPr>
            <cdr:cNvPr id="10" name="Straight Arrow Connector 9">
              <a:extLst xmlns:a="http://schemas.openxmlformats.org/drawingml/2006/main">
                <a:ext uri="{FF2B5EF4-FFF2-40B4-BE49-F238E27FC236}">
                  <a16:creationId xmlns:a16="http://schemas.microsoft.com/office/drawing/2014/main" id="{2B88466C-011E-4157-9F11-4803FBD3A3B9}"/>
                </a:ext>
              </a:extLst>
            </cdr:cNvPr>
            <cdr:cNvCxnSpPr/>
          </cdr:nvCxnSpPr>
          <cdr:spPr>
            <a:xfrm xmlns:a="http://schemas.openxmlformats.org/drawingml/2006/main" flipH="1" flipV="1">
              <a:off x="1168400" y="2750027"/>
              <a:ext cx="855134" cy="7857"/>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relSizeAnchor>
  <cdr:relSizeAnchor xmlns:cdr="http://schemas.openxmlformats.org/drawingml/2006/chartDrawing">
    <cdr:from>
      <cdr:x>0.73244</cdr:x>
      <cdr:y>0.15473</cdr:y>
    </cdr:from>
    <cdr:to>
      <cdr:x>0.97459</cdr:x>
      <cdr:y>0.64203</cdr:y>
    </cdr:to>
    <cdr:grpSp>
      <cdr:nvGrpSpPr>
        <cdr:cNvPr id="14" name="Group 13">
          <a:extLst xmlns:a="http://schemas.openxmlformats.org/drawingml/2006/main">
            <a:ext uri="{FF2B5EF4-FFF2-40B4-BE49-F238E27FC236}">
              <a16:creationId xmlns:a16="http://schemas.microsoft.com/office/drawing/2014/main" id="{6D85EE82-A8E9-4445-BEB7-1E8FCA958BA0}"/>
            </a:ext>
          </a:extLst>
        </cdr:cNvPr>
        <cdr:cNvGrpSpPr/>
      </cdr:nvGrpSpPr>
      <cdr:grpSpPr>
        <a:xfrm xmlns:a="http://schemas.openxmlformats.org/drawingml/2006/main">
          <a:off x="4146826" y="551399"/>
          <a:ext cx="1370971" cy="1736552"/>
          <a:chOff x="4122230" y="1010884"/>
          <a:chExt cx="1444851" cy="1630716"/>
        </a:xfrm>
      </cdr:grpSpPr>
      <cdr:sp macro="" textlink="">
        <cdr:nvSpPr>
          <cdr:cNvPr id="11" name="Rectangle 10">
            <a:extLst xmlns:a="http://schemas.openxmlformats.org/drawingml/2006/main">
              <a:ext uri="{FF2B5EF4-FFF2-40B4-BE49-F238E27FC236}">
                <a16:creationId xmlns:a16="http://schemas.microsoft.com/office/drawing/2014/main" id="{B58DCC57-33AB-4BBF-8241-1D326CE6C3B4}"/>
              </a:ext>
            </a:extLst>
          </cdr:cNvPr>
          <cdr:cNvSpPr/>
        </cdr:nvSpPr>
        <cdr:spPr>
          <a:xfrm xmlns:a="http://schemas.openxmlformats.org/drawingml/2006/main">
            <a:off x="4207934" y="1010884"/>
            <a:ext cx="1359147" cy="1630716"/>
          </a:xfrm>
          <a:prstGeom xmlns:a="http://schemas.openxmlformats.org/drawingml/2006/main" prst="rect">
            <a:avLst/>
          </a:prstGeom>
          <a:noFill xmlns:a="http://schemas.openxmlformats.org/drawingml/2006/main"/>
          <a:ln xmlns:a="http://schemas.openxmlformats.org/drawingml/2006/main">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2" name="TextBox 11">
            <a:extLst xmlns:a="http://schemas.openxmlformats.org/drawingml/2006/main">
              <a:ext uri="{FF2B5EF4-FFF2-40B4-BE49-F238E27FC236}">
                <a16:creationId xmlns:a16="http://schemas.microsoft.com/office/drawing/2014/main" id="{CF23DC53-7C20-4967-83BE-33AB1A7464C0}"/>
              </a:ext>
            </a:extLst>
          </cdr:cNvPr>
          <cdr:cNvSpPr txBox="1"/>
        </cdr:nvSpPr>
        <cdr:spPr>
          <a:xfrm xmlns:a="http://schemas.openxmlformats.org/drawingml/2006/main">
            <a:off x="4122230" y="1121829"/>
            <a:ext cx="1437950" cy="468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1100" b="1">
                <a:solidFill>
                  <a:schemeClr val="tx1">
                    <a:lumMod val="75000"/>
                    <a:lumOff val="25000"/>
                  </a:schemeClr>
                </a:solidFill>
              </a:rPr>
              <a:t>The EU Customs</a:t>
            </a:r>
            <a:r>
              <a:rPr lang="en-AU" sz="1100" b="1" baseline="0">
                <a:solidFill>
                  <a:schemeClr val="tx1">
                    <a:lumMod val="75000"/>
                    <a:lumOff val="25000"/>
                  </a:schemeClr>
                </a:solidFill>
              </a:rPr>
              <a:t> Union</a:t>
            </a:r>
            <a:endParaRPr lang="en-AU" sz="1100" b="1">
              <a:solidFill>
                <a:schemeClr val="tx1">
                  <a:lumMod val="75000"/>
                  <a:lumOff val="25000"/>
                </a:schemeClr>
              </a:solidFill>
            </a:endParaRPr>
          </a:p>
        </cdr:txBody>
      </cdr:sp>
    </cdr:grpSp>
  </cdr:relSizeAnchor>
</c:userShapes>
</file>

<file path=xl/drawings/drawing6.xml><?xml version="1.0" encoding="utf-8"?>
<c:userShapes xmlns:c="http://schemas.openxmlformats.org/drawingml/2006/chart">
  <cdr:relSizeAnchor xmlns:cdr="http://schemas.openxmlformats.org/drawingml/2006/chartDrawing">
    <cdr:from>
      <cdr:x>0.44695</cdr:x>
      <cdr:y>0.37973</cdr:y>
    </cdr:from>
    <cdr:to>
      <cdr:x>0.84384</cdr:x>
      <cdr:y>0.60989</cdr:y>
    </cdr:to>
    <cdr:sp macro="" textlink="">
      <cdr:nvSpPr>
        <cdr:cNvPr id="2" name="TextBox 1">
          <a:extLst xmlns:a="http://schemas.openxmlformats.org/drawingml/2006/main">
            <a:ext uri="{FF2B5EF4-FFF2-40B4-BE49-F238E27FC236}">
              <a16:creationId xmlns:a16="http://schemas.microsoft.com/office/drawing/2014/main" id="{BE38CA29-4BC3-46F7-93C7-5D8D8369AE22}"/>
            </a:ext>
          </a:extLst>
        </cdr:cNvPr>
        <cdr:cNvSpPr txBox="1"/>
      </cdr:nvSpPr>
      <cdr:spPr>
        <a:xfrm xmlns:a="http://schemas.openxmlformats.org/drawingml/2006/main">
          <a:off x="2268220" y="789940"/>
          <a:ext cx="2014220" cy="4787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b="1"/>
            <a:t>Inner ring: 1999</a:t>
          </a:r>
        </a:p>
        <a:p xmlns:a="http://schemas.openxmlformats.org/drawingml/2006/main">
          <a:r>
            <a:rPr lang="en-AU" sz="1100" b="1"/>
            <a:t>Outer ring: 2019</a:t>
          </a:r>
        </a:p>
        <a:p xmlns:a="http://schemas.openxmlformats.org/drawingml/2006/main">
          <a:r>
            <a:rPr lang="en-AU" sz="1100" b="1"/>
            <a:t> </a:t>
          </a:r>
        </a:p>
      </cdr:txBody>
    </cdr:sp>
  </cdr:relSizeAnchor>
</c:userShapes>
</file>

<file path=xl/drawings/drawing7.xml><?xml version="1.0" encoding="utf-8"?>
<c:userShapes xmlns:c="http://schemas.openxmlformats.org/drawingml/2006/chart">
  <cdr:relSizeAnchor xmlns:cdr="http://schemas.openxmlformats.org/drawingml/2006/chartDrawing">
    <cdr:from>
      <cdr:x>0.01748</cdr:x>
      <cdr:y>0.18251</cdr:y>
    </cdr:from>
    <cdr:to>
      <cdr:x>0.18408</cdr:x>
      <cdr:y>0.35908</cdr:y>
    </cdr:to>
    <cdr:sp macro="" textlink="">
      <cdr:nvSpPr>
        <cdr:cNvPr id="2" name="TextBox 1">
          <a:extLst xmlns:a="http://schemas.openxmlformats.org/drawingml/2006/main">
            <a:ext uri="{FF2B5EF4-FFF2-40B4-BE49-F238E27FC236}">
              <a16:creationId xmlns:a16="http://schemas.microsoft.com/office/drawing/2014/main" id="{8A556FD5-9D6D-48FA-B18A-D782FDCF7381}"/>
            </a:ext>
          </a:extLst>
        </cdr:cNvPr>
        <cdr:cNvSpPr txBox="1"/>
      </cdr:nvSpPr>
      <cdr:spPr>
        <a:xfrm xmlns:a="http://schemas.openxmlformats.org/drawingml/2006/main">
          <a:off x="81643" y="497091"/>
          <a:ext cx="778328" cy="4808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100" b="1"/>
            <a:t> Goods</a:t>
          </a:r>
        </a:p>
        <a:p xmlns:a="http://schemas.openxmlformats.org/drawingml/2006/main">
          <a:r>
            <a:rPr lang="en-AU" sz="1100" b="1"/>
            <a:t>£287 bn</a:t>
          </a:r>
        </a:p>
        <a:p xmlns:a="http://schemas.openxmlformats.org/drawingml/2006/main">
          <a:r>
            <a:rPr lang="en-AU" sz="1100" b="1"/>
            <a:t> </a:t>
          </a:r>
        </a:p>
      </cdr:txBody>
    </cdr:sp>
  </cdr:relSizeAnchor>
  <cdr:relSizeAnchor xmlns:cdr="http://schemas.openxmlformats.org/drawingml/2006/chartDrawing">
    <cdr:from>
      <cdr:x>0.22059</cdr:x>
      <cdr:y>0.47613</cdr:y>
    </cdr:from>
    <cdr:to>
      <cdr:x>0.37438</cdr:x>
      <cdr:y>0.65269</cdr:y>
    </cdr:to>
    <cdr:sp macro="" textlink="">
      <cdr:nvSpPr>
        <cdr:cNvPr id="3" name="TextBox 1">
          <a:extLst xmlns:a="http://schemas.openxmlformats.org/drawingml/2006/main">
            <a:ext uri="{FF2B5EF4-FFF2-40B4-BE49-F238E27FC236}">
              <a16:creationId xmlns:a16="http://schemas.microsoft.com/office/drawing/2014/main" id="{8F965DF9-3055-480C-9E92-A0F1434195B1}"/>
            </a:ext>
          </a:extLst>
        </cdr:cNvPr>
        <cdr:cNvSpPr txBox="1"/>
      </cdr:nvSpPr>
      <cdr:spPr>
        <a:xfrm xmlns:a="http://schemas.openxmlformats.org/drawingml/2006/main">
          <a:off x="1030514" y="1296781"/>
          <a:ext cx="718457" cy="4808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a:t> </a:t>
          </a:r>
          <a:r>
            <a:rPr lang="en-AU" sz="1100" b="1">
              <a:effectLst/>
              <a:latin typeface="+mn-lt"/>
              <a:ea typeface="+mn-ea"/>
              <a:cs typeface="+mn-cs"/>
            </a:rPr>
            <a:t>Services</a:t>
          </a:r>
        </a:p>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AU" sz="1100" b="1">
              <a:effectLst/>
              <a:latin typeface="+mn-lt"/>
              <a:ea typeface="+mn-ea"/>
              <a:cs typeface="+mn-cs"/>
            </a:rPr>
            <a:t>£233 bn</a:t>
          </a:r>
          <a:endParaRPr lang="en-AU">
            <a:effectLst/>
          </a:endParaRPr>
        </a:p>
        <a:p xmlns:a="http://schemas.openxmlformats.org/drawingml/2006/main">
          <a:pPr algn="ctr"/>
          <a:r>
            <a:rPr lang="en-AU" sz="1100"/>
            <a:t> </a:t>
          </a:r>
        </a:p>
      </cdr:txBody>
    </cdr:sp>
  </cdr:relSizeAnchor>
  <cdr:relSizeAnchor xmlns:cdr="http://schemas.openxmlformats.org/drawingml/2006/chartDrawing">
    <cdr:from>
      <cdr:x>0.57019</cdr:x>
      <cdr:y>0.33629</cdr:y>
    </cdr:from>
    <cdr:to>
      <cdr:x>0.95461</cdr:x>
      <cdr:y>0.87522</cdr:y>
    </cdr:to>
    <cdr:sp macro="" textlink="">
      <cdr:nvSpPr>
        <cdr:cNvPr id="4" name="Rectangle 3">
          <a:extLst xmlns:a="http://schemas.openxmlformats.org/drawingml/2006/main">
            <a:ext uri="{FF2B5EF4-FFF2-40B4-BE49-F238E27FC236}">
              <a16:creationId xmlns:a16="http://schemas.microsoft.com/office/drawing/2014/main" id="{D3C4A1B4-EE73-456D-B22B-223DF7BAB9D0}"/>
            </a:ext>
          </a:extLst>
        </cdr:cNvPr>
        <cdr:cNvSpPr/>
      </cdr:nvSpPr>
      <cdr:spPr>
        <a:xfrm xmlns:a="http://schemas.openxmlformats.org/drawingml/2006/main">
          <a:off x="2997501" y="915307"/>
          <a:ext cx="2020895" cy="1466850"/>
        </a:xfrm>
        <a:prstGeom xmlns:a="http://schemas.openxmlformats.org/drawingml/2006/main" prst="rect">
          <a:avLst/>
        </a:prstGeom>
        <a:noFill xmlns:a="http://schemas.openxmlformats.org/drawingml/2006/main"/>
        <a:ln xmlns:a="http://schemas.openxmlformats.org/drawingml/2006/main">
          <a:prstDash val="sys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0.65829</cdr:x>
      <cdr:y>0.32899</cdr:y>
    </cdr:from>
    <cdr:to>
      <cdr:x>0.96796</cdr:x>
      <cdr:y>0.41686</cdr:y>
    </cdr:to>
    <cdr:sp macro="" textlink="">
      <cdr:nvSpPr>
        <cdr:cNvPr id="5" name="TextBox 4">
          <a:extLst xmlns:a="http://schemas.openxmlformats.org/drawingml/2006/main">
            <a:ext uri="{FF2B5EF4-FFF2-40B4-BE49-F238E27FC236}">
              <a16:creationId xmlns:a16="http://schemas.microsoft.com/office/drawing/2014/main" id="{88094A75-560E-466F-B038-ED5AB24C004E}"/>
            </a:ext>
          </a:extLst>
        </cdr:cNvPr>
        <cdr:cNvSpPr txBox="1"/>
      </cdr:nvSpPr>
      <cdr:spPr>
        <a:xfrm xmlns:a="http://schemas.openxmlformats.org/drawingml/2006/main">
          <a:off x="3461284" y="900936"/>
          <a:ext cx="1628274" cy="2406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200" b="1"/>
            <a:t>Non-EU Exports</a:t>
          </a:r>
        </a:p>
      </cdr:txBody>
    </cdr:sp>
  </cdr:relSizeAnchor>
</c:userShapes>
</file>

<file path=xl/drawings/drawing8.xml><?xml version="1.0" encoding="utf-8"?>
<c:userShapes xmlns:c="http://schemas.openxmlformats.org/drawingml/2006/chart">
  <cdr:relSizeAnchor xmlns:cdr="http://schemas.openxmlformats.org/drawingml/2006/chartDrawing">
    <cdr:from>
      <cdr:x>0.74898</cdr:x>
      <cdr:y>0.07231</cdr:y>
    </cdr:from>
    <cdr:to>
      <cdr:x>0.95918</cdr:x>
      <cdr:y>0.89754</cdr:y>
    </cdr:to>
    <cdr:grpSp>
      <cdr:nvGrpSpPr>
        <cdr:cNvPr id="2" name="Group 1">
          <a:extLst xmlns:a="http://schemas.openxmlformats.org/drawingml/2006/main">
            <a:ext uri="{FF2B5EF4-FFF2-40B4-BE49-F238E27FC236}">
              <a16:creationId xmlns:a16="http://schemas.microsoft.com/office/drawing/2014/main" id="{9034C258-5FAA-49F9-B825-F6433EB5585D}"/>
            </a:ext>
          </a:extLst>
        </cdr:cNvPr>
        <cdr:cNvGrpSpPr/>
      </cdr:nvGrpSpPr>
      <cdr:grpSpPr>
        <a:xfrm xmlns:a="http://schemas.openxmlformats.org/drawingml/2006/main">
          <a:off x="6214537" y="248379"/>
          <a:ext cx="1744100" cy="2834604"/>
          <a:chOff x="0" y="73747"/>
          <a:chExt cx="1550565" cy="1362148"/>
        </a:xfrm>
      </cdr:grpSpPr>
      <cdr:sp macro="" textlink="">
        <cdr:nvSpPr>
          <cdr:cNvPr id="3" name="Rectangle 2">
            <a:extLst xmlns:a="http://schemas.openxmlformats.org/drawingml/2006/main">
              <a:ext uri="{FF2B5EF4-FFF2-40B4-BE49-F238E27FC236}">
                <a16:creationId xmlns:a16="http://schemas.microsoft.com/office/drawing/2014/main" id="{3A36DF5B-4E78-434F-8F38-88583D78DB4C}"/>
              </a:ext>
            </a:extLst>
          </cdr:cNvPr>
          <cdr:cNvSpPr/>
        </cdr:nvSpPr>
        <cdr:spPr>
          <a:xfrm xmlns:a="http://schemas.openxmlformats.org/drawingml/2006/main">
            <a:off x="0" y="78084"/>
            <a:ext cx="1550565" cy="1357811"/>
          </a:xfrm>
          <a:prstGeom xmlns:a="http://schemas.openxmlformats.org/drawingml/2006/main" prst="rect">
            <a:avLst/>
          </a:prstGeom>
          <a:noFill xmlns:a="http://schemas.openxmlformats.org/drawingml/2006/main"/>
          <a:ln xmlns:a="http://schemas.openxmlformats.org/drawingml/2006/main">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chemeClr val="bg1">
                  <a:lumMod val="50000"/>
                </a:schemeClr>
              </a:solidFill>
            </a:endParaRPr>
          </a:p>
        </cdr:txBody>
      </cdr:sp>
      <cdr:sp macro="" textlink="">
        <cdr:nvSpPr>
          <cdr:cNvPr id="4" name="TextBox 3">
            <a:extLst xmlns:a="http://schemas.openxmlformats.org/drawingml/2006/main">
              <a:ext uri="{FF2B5EF4-FFF2-40B4-BE49-F238E27FC236}">
                <a16:creationId xmlns:a16="http://schemas.microsoft.com/office/drawing/2014/main" id="{9493C10D-1832-429D-A71A-554B643DBEF6}"/>
              </a:ext>
            </a:extLst>
          </cdr:cNvPr>
          <cdr:cNvSpPr txBox="1"/>
        </cdr:nvSpPr>
        <cdr:spPr>
          <a:xfrm xmlns:a="http://schemas.openxmlformats.org/drawingml/2006/main">
            <a:off x="148954" y="73747"/>
            <a:ext cx="1368149" cy="6597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200" b="1">
                <a:solidFill>
                  <a:schemeClr val="tx1">
                    <a:lumMod val="75000"/>
                    <a:lumOff val="25000"/>
                  </a:schemeClr>
                </a:solidFill>
              </a:rPr>
              <a:t>The EU Customs</a:t>
            </a:r>
            <a:r>
              <a:rPr lang="en-AU" sz="1200" b="1" baseline="0">
                <a:solidFill>
                  <a:schemeClr val="tx1">
                    <a:lumMod val="75000"/>
                    <a:lumOff val="25000"/>
                  </a:schemeClr>
                </a:solidFill>
              </a:rPr>
              <a:t> Union</a:t>
            </a:r>
            <a:endParaRPr lang="en-AU" sz="1200" b="1">
              <a:solidFill>
                <a:schemeClr val="tx1">
                  <a:lumMod val="75000"/>
                  <a:lumOff val="25000"/>
                </a:schemeClr>
              </a:solidFill>
            </a:endParaRPr>
          </a:p>
        </cdr:txBody>
      </cdr:sp>
    </cdr:grpSp>
  </cdr:relSizeAnchor>
</c:userShapes>
</file>

<file path=xl/drawings/drawing9.xml><?xml version="1.0" encoding="utf-8"?>
<c:userShapes xmlns:c="http://schemas.openxmlformats.org/drawingml/2006/chart">
  <cdr:relSizeAnchor xmlns:cdr="http://schemas.openxmlformats.org/drawingml/2006/chartDrawing">
    <cdr:from>
      <cdr:x>0.2121</cdr:x>
      <cdr:y>0.35591</cdr:y>
    </cdr:from>
    <cdr:to>
      <cdr:x>0.57507</cdr:x>
      <cdr:y>0.69318</cdr:y>
    </cdr:to>
    <cdr:grpSp>
      <cdr:nvGrpSpPr>
        <cdr:cNvPr id="5" name="Group 4">
          <a:extLst xmlns:a="http://schemas.openxmlformats.org/drawingml/2006/main">
            <a:ext uri="{FF2B5EF4-FFF2-40B4-BE49-F238E27FC236}">
              <a16:creationId xmlns:a16="http://schemas.microsoft.com/office/drawing/2014/main" id="{5533451B-5821-4453-8A3C-E3F9DD402201}"/>
            </a:ext>
          </a:extLst>
        </cdr:cNvPr>
        <cdr:cNvGrpSpPr/>
      </cdr:nvGrpSpPr>
      <cdr:grpSpPr>
        <a:xfrm xmlns:a="http://schemas.openxmlformats.org/drawingml/2006/main">
          <a:off x="1104764" y="1003452"/>
          <a:ext cx="1890599" cy="950899"/>
          <a:chOff x="988013" y="1254667"/>
          <a:chExt cx="1733699" cy="626571"/>
        </a:xfrm>
      </cdr:grpSpPr>
      <cdr:sp macro="" textlink="">
        <cdr:nvSpPr>
          <cdr:cNvPr id="3" name="Rectangle 2">
            <a:extLst xmlns:a="http://schemas.openxmlformats.org/drawingml/2006/main">
              <a:ext uri="{FF2B5EF4-FFF2-40B4-BE49-F238E27FC236}">
                <a16:creationId xmlns:a16="http://schemas.microsoft.com/office/drawing/2014/main" id="{B0203279-DECD-4765-BB87-7851DFBA7E26}"/>
              </a:ext>
            </a:extLst>
          </cdr:cNvPr>
          <cdr:cNvSpPr/>
        </cdr:nvSpPr>
        <cdr:spPr>
          <a:xfrm xmlns:a="http://schemas.openxmlformats.org/drawingml/2006/main">
            <a:off x="988013" y="1268500"/>
            <a:ext cx="1657934" cy="612738"/>
          </a:xfrm>
          <a:prstGeom xmlns:a="http://schemas.openxmlformats.org/drawingml/2006/main" prst="rect">
            <a:avLst/>
          </a:prstGeom>
          <a:noFill xmlns:a="http://schemas.openxmlformats.org/drawingml/2006/main"/>
          <a:ln xmlns:a="http://schemas.openxmlformats.org/drawingml/2006/main">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4" name="TextBox 3">
            <a:extLst xmlns:a="http://schemas.openxmlformats.org/drawingml/2006/main">
              <a:ext uri="{FF2B5EF4-FFF2-40B4-BE49-F238E27FC236}">
                <a16:creationId xmlns:a16="http://schemas.microsoft.com/office/drawing/2014/main" id="{63726559-20E5-49A6-9C94-4392DF034475}"/>
              </a:ext>
            </a:extLst>
          </cdr:cNvPr>
          <cdr:cNvSpPr txBox="1"/>
        </cdr:nvSpPr>
        <cdr:spPr>
          <a:xfrm xmlns:a="http://schemas.openxmlformats.org/drawingml/2006/main">
            <a:off x="1982500" y="1254667"/>
            <a:ext cx="739212" cy="6215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chemeClr val="tx1">
                    <a:lumMod val="85000"/>
                    <a:lumOff val="15000"/>
                  </a:schemeClr>
                </a:solidFill>
              </a:rPr>
              <a:t>The EU Customs</a:t>
            </a:r>
            <a:r>
              <a:rPr lang="en-AU" sz="1100" b="1" baseline="0">
                <a:solidFill>
                  <a:schemeClr val="tx1">
                    <a:lumMod val="85000"/>
                    <a:lumOff val="15000"/>
                  </a:schemeClr>
                </a:solidFill>
              </a:rPr>
              <a:t> Union</a:t>
            </a:r>
            <a:endParaRPr lang="en-AU" sz="1100" b="1">
              <a:solidFill>
                <a:schemeClr val="tx1">
                  <a:lumMod val="85000"/>
                  <a:lumOff val="15000"/>
                </a:schemeClr>
              </a:solidFill>
            </a:endParaRP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economy/grossdomesticproductgdp/timeseries/l87l/ukea" TargetMode="External"/><Relationship Id="rId7" Type="http://schemas.openxmlformats.org/officeDocument/2006/relationships/drawing" Target="../drawings/drawing1.xml"/><Relationship Id="rId2" Type="http://schemas.openxmlformats.org/officeDocument/2006/relationships/hyperlink" Target="https://www.ons.gov.uk/economy/nationalaccounts/balanceofpayments/timeseries/l87s/ukea" TargetMode="External"/><Relationship Id="rId1" Type="http://schemas.openxmlformats.org/officeDocument/2006/relationships/hyperlink" Target="https://www.civitas.org.uk/content/files/itsquiteoktowalkaway.pdf" TargetMode="External"/><Relationship Id="rId6" Type="http://schemas.openxmlformats.org/officeDocument/2006/relationships/printerSettings" Target="../printerSettings/printerSettings1.bin"/><Relationship Id="rId5" Type="http://schemas.openxmlformats.org/officeDocument/2006/relationships/hyperlink" Target="https://www.ons.gov.uk/economy/nationalaccounts/balanceofpayments/timeseries/l87u/mret" TargetMode="External"/><Relationship Id="rId4" Type="http://schemas.openxmlformats.org/officeDocument/2006/relationships/hyperlink" Target="https://www.ons.gov.uk/economy/grossdomesticproductgdp/timeseries/l87n/ukea"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ons.gov.uk/businessindustryandtrade/internationaltrade/datasets/uktradeinservicesservicetypebypartnercountrynonseasonallyadjusted"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ons.gov.uk/economy/grossdomesticproductgdp/timeseries/ybfz/ukea" TargetMode="External"/><Relationship Id="rId3" Type="http://schemas.openxmlformats.org/officeDocument/2006/relationships/hyperlink" Target="https://www.ons.gov.uk/economy/nationalaccounts/balanceofpayments/timeseries/l855/pnbp" TargetMode="External"/><Relationship Id="rId7" Type="http://schemas.openxmlformats.org/officeDocument/2006/relationships/hyperlink" Target="https://www.ons.gov.uk/economy/grossdomesticproductgdp/timeseries/ybfw/ukea" TargetMode="External"/><Relationship Id="rId2" Type="http://schemas.openxmlformats.org/officeDocument/2006/relationships/hyperlink" Target="https://www.ons.gov.uk/economy/nationalaccounts/balanceofpayments/timeseries/fdyi/pnbp" TargetMode="External"/><Relationship Id="rId1" Type="http://schemas.openxmlformats.org/officeDocument/2006/relationships/hyperlink" Target="https://www.ons.gov.uk/economy/nationalaccounts/balanceofpayments/bulletins/uktrade/dec2016" TargetMode="External"/><Relationship Id="rId6" Type="http://schemas.openxmlformats.org/officeDocument/2006/relationships/hyperlink" Target="https://www.ons.gov.uk/economy/nationalaccounts/balanceofpayments/timeseries/l854/pnbp" TargetMode="External"/><Relationship Id="rId5" Type="http://schemas.openxmlformats.org/officeDocument/2006/relationships/hyperlink" Target="https://www.ons.gov.uk/economy/nationalaccounts/balanceofpayments/timeseries/l855/pnbp" TargetMode="External"/><Relationship Id="rId4" Type="http://schemas.openxmlformats.org/officeDocument/2006/relationships/hyperlink" Target="https://www.ons.gov.uk/economy/nationalaccounts/balanceofpayments/timeseries/l854/pnbp" TargetMode="External"/><Relationship Id="rId9" Type="http://schemas.openxmlformats.org/officeDocument/2006/relationships/drawing" Target="../drawings/drawing16.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9.bin"/><Relationship Id="rId1" Type="http://schemas.openxmlformats.org/officeDocument/2006/relationships/hyperlink" Target="https://www.ons.gov.uk/economy/grossdomesticproductgdp/timeseries/l87l/ukea"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www.ons.gov.uk/economy/nationalaccounts/balanceofpayments/bulletins/uktrade/dec2016"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www.ons.gov.uk/economy/grossdomesticproductgdp/timeseries/l87n/ukea" TargetMode="External"/><Relationship Id="rId3" Type="http://schemas.openxmlformats.org/officeDocument/2006/relationships/hyperlink" Target="https://www.ons.gov.uk/economy/grossdomesticproductgdp/timeseries/ybfw/ukea" TargetMode="External"/><Relationship Id="rId7" Type="http://schemas.openxmlformats.org/officeDocument/2006/relationships/hyperlink" Target="https://www.ons.gov.uk/economy/grossdomesticproductgdp/timeseries/l87l/ukea" TargetMode="External"/><Relationship Id="rId2" Type="http://schemas.openxmlformats.org/officeDocument/2006/relationships/hyperlink" Target="https://tradingeconomics.com/united-kingdom/gdp-growth-annual" TargetMode="External"/><Relationship Id="rId1" Type="http://schemas.openxmlformats.org/officeDocument/2006/relationships/hyperlink" Target="https://tradingeconomics.com/euro-area/gdp-growth" TargetMode="External"/><Relationship Id="rId6" Type="http://schemas.openxmlformats.org/officeDocument/2006/relationships/hyperlink" Target="https://www.ons.gov.uk/economy/nationalaccounts/balanceofpayments/timeseries/l87s/ukea" TargetMode="External"/><Relationship Id="rId5" Type="http://schemas.openxmlformats.org/officeDocument/2006/relationships/hyperlink" Target="https://www.gov.uk/government/uploads/system/uploads/attachment_data/file/696904/GDP_Deflators_Qtrly_National_Accounts_March_2018.csv/preview" TargetMode="External"/><Relationship Id="rId10" Type="http://schemas.openxmlformats.org/officeDocument/2006/relationships/drawing" Target="../drawings/drawing19.xml"/><Relationship Id="rId4" Type="http://schemas.openxmlformats.org/officeDocument/2006/relationships/hyperlink" Target="https://www.ons.gov.uk/economy/grossdomesticproductgdp/timeseries/ybfz/ukea" TargetMode="External"/><Relationship Id="rId9" Type="http://schemas.openxmlformats.org/officeDocument/2006/relationships/hyperlink" Target="https://www.ons.gov.uk/economy/nationalaccounts/balanceofpayments/timeseries/l87u/mre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economy/grossdomesticproductgdp/timeseries/l87l/ukea" TargetMode="External"/><Relationship Id="rId13" Type="http://schemas.openxmlformats.org/officeDocument/2006/relationships/hyperlink" Target="https://www.census.gov/foreign-trade/balance/c0003.html" TargetMode="External"/><Relationship Id="rId18" Type="http://schemas.openxmlformats.org/officeDocument/2006/relationships/hyperlink" Target="https://www.bls.gov/charts/import-export/us-import-and-export-price-indexes-12-month-percent-change.htm" TargetMode="External"/><Relationship Id="rId26" Type="http://schemas.openxmlformats.org/officeDocument/2006/relationships/hyperlink" Target="https://ustr.gov/countries-regions/china-mongolia-taiwan/peoples-republic-china" TargetMode="External"/><Relationship Id="rId3" Type="http://schemas.openxmlformats.org/officeDocument/2006/relationships/hyperlink" Target="https://tradingeconomics.com/united-kingdom/gdp-growth-annual" TargetMode="External"/><Relationship Id="rId21" Type="http://schemas.openxmlformats.org/officeDocument/2006/relationships/hyperlink" Target="https://www.census.gov/foreign-trade/balance/c0003.html" TargetMode="External"/><Relationship Id="rId7" Type="http://schemas.openxmlformats.org/officeDocument/2006/relationships/hyperlink" Target="https://www.ons.gov.uk/economy/nationalaccounts/balanceofpayments/timeseries/l87s/ukea" TargetMode="External"/><Relationship Id="rId12" Type="http://schemas.openxmlformats.org/officeDocument/2006/relationships/hyperlink" Target="https://www.civitas.org.uk/content/files/itsquiteoktowalkaway.pdf" TargetMode="External"/><Relationship Id="rId17" Type="http://schemas.openxmlformats.org/officeDocument/2006/relationships/hyperlink" Target="https://www.ons.gov.uk/economy/grossdomesticproductgdp/timeseries/ihyp/pn2" TargetMode="External"/><Relationship Id="rId25" Type="http://schemas.openxmlformats.org/officeDocument/2006/relationships/hyperlink" Target="https://www.census.gov/foreign-trade/balance/c5700.html" TargetMode="External"/><Relationship Id="rId2" Type="http://schemas.openxmlformats.org/officeDocument/2006/relationships/hyperlink" Target="http://ec.europa.eu/eurostat/statistics-explained/index.php/Intra-EU_trade_in_goods_-_recent_trends" TargetMode="External"/><Relationship Id="rId16" Type="http://schemas.openxmlformats.org/officeDocument/2006/relationships/hyperlink" Target="https://www.poundsterlinglive.com/bank-of-england-spot/historical-spot-exchange-rates/gbp/GBP-to-USD-1998" TargetMode="External"/><Relationship Id="rId20" Type="http://schemas.openxmlformats.org/officeDocument/2006/relationships/hyperlink" Target="https://www.bls.gov/charts/import-export/us-import-and-export-price-indexes-12-month-percent-change.htm" TargetMode="External"/><Relationship Id="rId1" Type="http://schemas.openxmlformats.org/officeDocument/2006/relationships/hyperlink" Target="https://tradingeconomics.com/euro-area/gdp-growth" TargetMode="External"/><Relationship Id="rId6" Type="http://schemas.openxmlformats.org/officeDocument/2006/relationships/hyperlink" Target="https://www.gov.uk/government/uploads/system/uploads/attachment_data/file/696904/GDP_Deflators_Qtrly_National_Accounts_March_2018.csv/preview" TargetMode="External"/><Relationship Id="rId11" Type="http://schemas.openxmlformats.org/officeDocument/2006/relationships/hyperlink" Target="https://www.ons.gov.uk/economy/nationalaccounts/balanceofpayments/datasets/publicationtablesuktradecpa08" TargetMode="External"/><Relationship Id="rId24" Type="http://schemas.openxmlformats.org/officeDocument/2006/relationships/hyperlink" Target="https://www.ons.gov.uk/economy/nationalaccounts/balanceofpayments/timeseries/l87s/pnbp" TargetMode="External"/><Relationship Id="rId5" Type="http://schemas.openxmlformats.org/officeDocument/2006/relationships/hyperlink" Target="https://www.ons.gov.uk/economy/grossdomesticproductgdp/timeseries/ybfz/ukea" TargetMode="External"/><Relationship Id="rId15" Type="http://schemas.openxmlformats.org/officeDocument/2006/relationships/hyperlink" Target="https://ustr.gov/countries-regions/china-mongolia-taiwan/peoples-republic-china" TargetMode="External"/><Relationship Id="rId23" Type="http://schemas.openxmlformats.org/officeDocument/2006/relationships/hyperlink" Target="https://www.ons.gov.uk/economy/nationalaccounts/balanceofpayments/timeseries/l87s/pnbp" TargetMode="External"/><Relationship Id="rId28" Type="http://schemas.openxmlformats.org/officeDocument/2006/relationships/drawing" Target="../drawings/drawing10.xml"/><Relationship Id="rId10" Type="http://schemas.openxmlformats.org/officeDocument/2006/relationships/hyperlink" Target="https://www.ons.gov.uk/economy/nationalaccounts/balanceofpayments/timeseries/l87u/mret" TargetMode="External"/><Relationship Id="rId19" Type="http://schemas.openxmlformats.org/officeDocument/2006/relationships/hyperlink" Target="https://tradingeconomics.com/euro-area/gdp-growth" TargetMode="External"/><Relationship Id="rId4" Type="http://schemas.openxmlformats.org/officeDocument/2006/relationships/hyperlink" Target="https://www.ons.gov.uk/economy/grossdomesticproductgdp/timeseries/ybfw/ukea" TargetMode="External"/><Relationship Id="rId9" Type="http://schemas.openxmlformats.org/officeDocument/2006/relationships/hyperlink" Target="https://www.ons.gov.uk/economy/grossdomesticproductgdp/timeseries/l87n/ukea" TargetMode="External"/><Relationship Id="rId14" Type="http://schemas.openxmlformats.org/officeDocument/2006/relationships/hyperlink" Target="https://ustr.gov/countries-regions/china-mongolia-taiwan/peoples-republic-china" TargetMode="External"/><Relationship Id="rId22" Type="http://schemas.openxmlformats.org/officeDocument/2006/relationships/hyperlink" Target="https://www.ons.gov.uk/employmentandlabourmarket/peopleinwork/labourproductivity/timeseries/lzvd/prdy" TargetMode="External"/><Relationship Id="rId27"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ons.gov.uk/economy/nationalaccounts/balanceofpayments/timeseries/l865/ukea" TargetMode="External"/><Relationship Id="rId3" Type="http://schemas.openxmlformats.org/officeDocument/2006/relationships/hyperlink" Target="https://www.ons.gov.uk/economy/nationalaccounts/balanceofpayments/timeseries/l869/ukea" TargetMode="External"/><Relationship Id="rId7" Type="http://schemas.openxmlformats.org/officeDocument/2006/relationships/hyperlink" Target="https://www.ons.gov.uk/businessindustryandtrade/internationaltrade/datasets/uktradeinservicesservicetypebypartnercountrynonseasonallyadjusted" TargetMode="External"/><Relationship Id="rId2" Type="http://schemas.openxmlformats.org/officeDocument/2006/relationships/hyperlink" Target="https://www.ons.gov.uk/economy/grossdomesticproductgdp/timeseries/ybfz/ukea" TargetMode="External"/><Relationship Id="rId1" Type="http://schemas.openxmlformats.org/officeDocument/2006/relationships/hyperlink" Target="https://www.ons.gov.uk/economy/grossdomesticproductgdp/timeseries/ybfw/ukea" TargetMode="External"/><Relationship Id="rId6" Type="http://schemas.openxmlformats.org/officeDocument/2006/relationships/hyperlink" Target="https://www.ons.gov.uk/economy/nationalaccounts/balanceofpayments/timeseries/l855/pnbp" TargetMode="External"/><Relationship Id="rId5" Type="http://schemas.openxmlformats.org/officeDocument/2006/relationships/hyperlink" Target="https://www.ons.gov.uk/economy/nationalaccounts/balanceofpayments/timeseries/l854/pnbp" TargetMode="External"/><Relationship Id="rId10" Type="http://schemas.openxmlformats.org/officeDocument/2006/relationships/drawing" Target="../drawings/drawing11.xml"/><Relationship Id="rId4" Type="http://schemas.openxmlformats.org/officeDocument/2006/relationships/hyperlink" Target="https://www.ons.gov.uk/economy/nationalaccounts/balanceofpayments/timeseries/l868/pnbp"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ons.gov.uk/employmentandlabourmarket/peopleinwork/labourproductivity/timeseries/lzvd/prdy" TargetMode="External"/><Relationship Id="rId13" Type="http://schemas.openxmlformats.org/officeDocument/2006/relationships/hyperlink" Target="https://www.bankofengland.co.uk/boeapps/database/fromshowcolumns.asp?Travel=NIxAZxSUx&amp;FromSeries=1&amp;ToSeries=50&amp;DAT=RNG&amp;FD=1&amp;FM=Jan&amp;FY=1998&amp;TD=31&amp;TM=Dec&amp;TY=2025&amp;FNY=Y&amp;CSVF=TT&amp;html.x=66&amp;html.y=26&amp;SeriesCodes=XUAAUSS&amp;UsingCodes=Y&amp;Filter=N&amp;title=XUAAUSS&amp;VPD=Y" TargetMode="External"/><Relationship Id="rId3" Type="http://schemas.openxmlformats.org/officeDocument/2006/relationships/hyperlink" Target="https://www.ons.gov.uk/economy/grossdomesticproductgdp/timeseries/ihyp/pn2" TargetMode="External"/><Relationship Id="rId7" Type="http://schemas.openxmlformats.org/officeDocument/2006/relationships/hyperlink" Target="https://www.census.gov/foreign-trade/balance/c0003.html" TargetMode="External"/><Relationship Id="rId12" Type="http://schemas.openxmlformats.org/officeDocument/2006/relationships/hyperlink" Target="https://ustr.gov/countries-regions/china-mongolia-taiwan/peoples-republic-china" TargetMode="External"/><Relationship Id="rId17" Type="http://schemas.openxmlformats.org/officeDocument/2006/relationships/drawing" Target="../drawings/drawing12.xml"/><Relationship Id="rId2" Type="http://schemas.openxmlformats.org/officeDocument/2006/relationships/hyperlink" Target="https://ustr.gov/countries-regions/china-mongolia-taiwan/peoples-republic-china" TargetMode="External"/><Relationship Id="rId16" Type="http://schemas.openxmlformats.org/officeDocument/2006/relationships/printerSettings" Target="../printerSettings/printerSettings4.bin"/><Relationship Id="rId1" Type="http://schemas.openxmlformats.org/officeDocument/2006/relationships/hyperlink" Target="https://www.census.gov/foreign-trade/balance/c0003.html" TargetMode="External"/><Relationship Id="rId6" Type="http://schemas.openxmlformats.org/officeDocument/2006/relationships/hyperlink" Target="https://www.bls.gov/charts/import-export/us-import-and-export-price-indexes-12-month-percent-change.htm" TargetMode="External"/><Relationship Id="rId11" Type="http://schemas.openxmlformats.org/officeDocument/2006/relationships/hyperlink" Target="https://www.census.gov/foreign-trade/balance/c5700.html" TargetMode="External"/><Relationship Id="rId5" Type="http://schemas.openxmlformats.org/officeDocument/2006/relationships/hyperlink" Target="https://tradingeconomics.com/euro-area/gdp-growth" TargetMode="External"/><Relationship Id="rId15" Type="http://schemas.openxmlformats.org/officeDocument/2006/relationships/hyperlink" Target="https://ustr.gov/countries-regions/china-mongolia-taiwan/peoples-republic-china" TargetMode="External"/><Relationship Id="rId10" Type="http://schemas.openxmlformats.org/officeDocument/2006/relationships/hyperlink" Target="https://www.ons.gov.uk/economy/nationalaccounts/balanceofpayments/timeseries/l87s/pnbp" TargetMode="External"/><Relationship Id="rId4" Type="http://schemas.openxmlformats.org/officeDocument/2006/relationships/hyperlink" Target="https://www.bls.gov/charts/import-export/us-import-and-export-price-indexes-12-month-percent-change.htm" TargetMode="External"/><Relationship Id="rId9" Type="http://schemas.openxmlformats.org/officeDocument/2006/relationships/hyperlink" Target="https://www.ons.gov.uk/economy/nationalaccounts/balanceofpayments/timeseries/l87s/pnbp" TargetMode="External"/><Relationship Id="rId14" Type="http://schemas.openxmlformats.org/officeDocument/2006/relationships/hyperlink" Target="https://www.bankofengland.co.uk/boeapps/database/fromshowcolumns.asp?Travel=NIxAZxSUx&amp;FromSeries=1&amp;ToSeries=50&amp;DAT=RNG&amp;FD=1&amp;FM=Jan&amp;FY=1998&amp;TD=31&amp;TM=Dec&amp;TY=2025&amp;FNY=Y&amp;CSVF=TT&amp;html.x=66&amp;html.y=26&amp;SeriesCodes=XUAAUSS&amp;UsingCodes=Y&amp;Filter=N&amp;title=XUAAUSS&amp;VPD=Y"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economy/grossdomesticproductgdp/timeseries/ybfz/ukea" TargetMode="External"/><Relationship Id="rId1" Type="http://schemas.openxmlformats.org/officeDocument/2006/relationships/hyperlink" Target="https://www.ons.gov.uk/economy/grossdomesticproductgdp/timeseries/ybfw/ukea" TargetMode="External"/><Relationship Id="rId4" Type="http://schemas.openxmlformats.org/officeDocument/2006/relationships/drawing" Target="../drawings/drawing13.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economy/nationalaccounts/balanceofpayments/datasets/uktradeallcountriesseasonallyadjusted" TargetMode="External"/><Relationship Id="rId2" Type="http://schemas.openxmlformats.org/officeDocument/2006/relationships/hyperlink" Target="https://www.ons.gov.uk/economy/grossdomesticproductgdp/timeseries/ybfz/ukea" TargetMode="External"/><Relationship Id="rId1" Type="http://schemas.openxmlformats.org/officeDocument/2006/relationships/hyperlink" Target="https://www.ons.gov.uk/economy/grossdomesticproductgdp/timeseries/ybfw/ukea" TargetMode="External"/><Relationship Id="rId4" Type="http://schemas.openxmlformats.org/officeDocument/2006/relationships/drawing" Target="../drawings/drawing1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s.gov.uk/economy/grossdomesticproductgdp/timeseries/ybfz/ukea" TargetMode="External"/><Relationship Id="rId1" Type="http://schemas.openxmlformats.org/officeDocument/2006/relationships/hyperlink" Target="https://www.ons.gov.uk/economy/grossdomesticproductgdp/timeseries/ybfw/ukea" TargetMode="External"/><Relationship Id="rId4" Type="http://schemas.openxmlformats.org/officeDocument/2006/relationships/drawing" Target="../drawings/drawing1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69"/>
  <sheetViews>
    <sheetView tabSelected="1" zoomScale="90" zoomScaleNormal="90" workbookViewId="0">
      <selection activeCell="L44" sqref="L44"/>
    </sheetView>
  </sheetViews>
  <sheetFormatPr defaultRowHeight="14.4" x14ac:dyDescent="0.3"/>
  <cols>
    <col min="1" max="1" width="47.109375" customWidth="1"/>
    <col min="2" max="2" width="15.6640625" customWidth="1"/>
    <col min="3" max="3" width="15.5546875" customWidth="1"/>
    <col min="4" max="4" width="16.21875" customWidth="1"/>
    <col min="5" max="5" width="12.33203125" customWidth="1"/>
    <col min="6" max="6" width="21.21875" customWidth="1"/>
    <col min="7" max="7" width="13.88671875" customWidth="1"/>
    <col min="8" max="8" width="14" customWidth="1"/>
    <col min="9" max="9" width="13" customWidth="1"/>
    <col min="18" max="18" width="12" bestFit="1" customWidth="1"/>
    <col min="22" max="22" width="14.109375" customWidth="1"/>
    <col min="23" max="24" width="12.33203125" customWidth="1"/>
  </cols>
  <sheetData>
    <row r="1" spans="1:14" s="156" customFormat="1" ht="39.6" customHeight="1" x14ac:dyDescent="0.4">
      <c r="A1" s="156" t="s">
        <v>151</v>
      </c>
    </row>
    <row r="2" spans="1:14" s="156" customFormat="1" ht="91.2" customHeight="1" x14ac:dyDescent="0.4">
      <c r="A2" s="966" t="s">
        <v>975</v>
      </c>
      <c r="B2" s="966"/>
      <c r="C2" s="966"/>
      <c r="D2" s="966"/>
      <c r="E2" s="966"/>
      <c r="F2" s="966"/>
      <c r="G2" s="966"/>
      <c r="H2" s="966"/>
      <c r="I2" s="966"/>
      <c r="J2" s="966"/>
    </row>
    <row r="3" spans="1:14" s="156" customFormat="1" ht="52.2" customHeight="1" x14ac:dyDescent="0.4">
      <c r="A3" s="970" t="s">
        <v>976</v>
      </c>
      <c r="B3" s="970"/>
      <c r="C3" s="970"/>
      <c r="D3" s="970"/>
      <c r="E3" s="970"/>
      <c r="F3" s="970"/>
      <c r="G3" s="970"/>
      <c r="H3" s="970"/>
      <c r="I3" s="970"/>
      <c r="J3" s="970"/>
    </row>
    <row r="4" spans="1:14" s="91" customFormat="1" ht="19.2" customHeight="1" x14ac:dyDescent="0.3">
      <c r="A4" s="134" t="s">
        <v>977</v>
      </c>
      <c r="C4" s="6"/>
    </row>
    <row r="5" spans="1:14" x14ac:dyDescent="0.3">
      <c r="A5" s="342" t="s">
        <v>480</v>
      </c>
    </row>
    <row r="6" spans="1:14" s="91" customFormat="1" ht="18.600000000000001" thickBot="1" x14ac:dyDescent="0.4">
      <c r="A6" s="95" t="s">
        <v>459</v>
      </c>
      <c r="B6" s="83"/>
      <c r="C6" s="6"/>
    </row>
    <row r="7" spans="1:14" s="91" customFormat="1" x14ac:dyDescent="0.3">
      <c r="A7" s="283" t="s">
        <v>760</v>
      </c>
      <c r="B7" s="345" t="s">
        <v>137</v>
      </c>
      <c r="C7" s="345" t="s">
        <v>64</v>
      </c>
      <c r="D7" s="285" t="s">
        <v>319</v>
      </c>
      <c r="E7" s="257"/>
      <c r="F7" s="664" t="s">
        <v>745</v>
      </c>
      <c r="G7" s="124" t="s">
        <v>137</v>
      </c>
      <c r="H7" s="171" t="s">
        <v>64</v>
      </c>
    </row>
    <row r="8" spans="1:14" s="91" customFormat="1" x14ac:dyDescent="0.3">
      <c r="A8" s="292" t="s">
        <v>458</v>
      </c>
      <c r="B8" s="346">
        <f>'2. Trade in Goods'!V177/1000</f>
        <v>172.21100000000001</v>
      </c>
      <c r="C8" s="346">
        <f>'2. Trade in Goods'!V184/1000</f>
        <v>178.44</v>
      </c>
      <c r="D8" s="317">
        <f>B8+C8</f>
        <v>350.65100000000001</v>
      </c>
      <c r="E8" s="18"/>
      <c r="F8" s="70" t="s">
        <v>209</v>
      </c>
      <c r="G8" s="666">
        <f>'2. Trade in Goods'!V179/1000</f>
        <v>-93.451999999999998</v>
      </c>
      <c r="H8" s="667">
        <f>'2. Trade in Goods'!V186/1000</f>
        <v>-44.640999999999998</v>
      </c>
      <c r="J8" s="562">
        <f>G8+G9</f>
        <v>-64.048000000000002</v>
      </c>
      <c r="N8" s="565"/>
    </row>
    <row r="9" spans="1:14" s="91" customFormat="1" x14ac:dyDescent="0.3">
      <c r="A9" s="292" t="s">
        <v>743</v>
      </c>
      <c r="B9" s="346">
        <f>'3. Trade in Services'!U173</f>
        <v>116.70699999999999</v>
      </c>
      <c r="C9" s="346">
        <f>'3. Trade in Services'!U178</f>
        <v>166.70400000000001</v>
      </c>
      <c r="D9" s="317">
        <f>C9+B9</f>
        <v>283.411</v>
      </c>
      <c r="E9" s="565"/>
      <c r="F9" s="143" t="s">
        <v>210</v>
      </c>
      <c r="G9" s="600">
        <f>'3. Trade in Services'!U175</f>
        <v>29.403999999999996</v>
      </c>
      <c r="H9" s="344">
        <f>'3. Trade in Services'!U180</f>
        <v>77.720000000000013</v>
      </c>
      <c r="N9" s="565"/>
    </row>
    <row r="10" spans="1:14" s="91" customFormat="1" ht="15" thickBot="1" x14ac:dyDescent="0.35">
      <c r="A10" s="318" t="s">
        <v>172</v>
      </c>
      <c r="B10" s="348">
        <f>B8+B9</f>
        <v>288.91800000000001</v>
      </c>
      <c r="C10" s="347">
        <f>C8+C9</f>
        <v>345.14400000000001</v>
      </c>
      <c r="D10" s="319">
        <f>D8+D9</f>
        <v>634.06200000000001</v>
      </c>
      <c r="F10" s="318" t="s">
        <v>678</v>
      </c>
      <c r="G10" s="665">
        <f>G8+G9</f>
        <v>-64.048000000000002</v>
      </c>
      <c r="H10" s="599">
        <f>H8+H9</f>
        <v>33.079000000000015</v>
      </c>
      <c r="N10" s="10"/>
    </row>
    <row r="11" spans="1:14" s="91" customFormat="1" ht="15" thickBot="1" x14ac:dyDescent="0.35">
      <c r="A11" s="320" t="s">
        <v>431</v>
      </c>
      <c r="B11" s="370">
        <f>B10/D10</f>
        <v>0.45566206459305242</v>
      </c>
      <c r="C11" s="371">
        <f>C10/D10</f>
        <v>0.54433793540694764</v>
      </c>
    </row>
    <row r="12" spans="1:14" s="91" customFormat="1" x14ac:dyDescent="0.3">
      <c r="A12" s="45"/>
      <c r="B12" s="83"/>
      <c r="C12" s="6"/>
    </row>
    <row r="13" spans="1:14" s="91" customFormat="1" x14ac:dyDescent="0.3">
      <c r="A13" s="45"/>
      <c r="B13" s="83" t="e">
        <f>#REF!+#REF!</f>
        <v>#REF!</v>
      </c>
      <c r="C13" s="6"/>
    </row>
    <row r="14" spans="1:14" s="91" customFormat="1" x14ac:dyDescent="0.3">
      <c r="A14" s="45"/>
      <c r="B14" s="83"/>
      <c r="C14" s="6"/>
    </row>
    <row r="15" spans="1:14" s="91" customFormat="1" x14ac:dyDescent="0.3">
      <c r="A15" s="45"/>
      <c r="B15" s="83"/>
      <c r="C15" s="6"/>
    </row>
    <row r="16" spans="1:14" s="91" customFormat="1" x14ac:dyDescent="0.3">
      <c r="A16" s="45"/>
      <c r="B16" s="83"/>
      <c r="C16" s="6"/>
    </row>
    <row r="17" spans="1:4" s="91" customFormat="1" x14ac:dyDescent="0.3">
      <c r="A17" s="45"/>
      <c r="B17" s="83"/>
      <c r="C17" s="6"/>
    </row>
    <row r="18" spans="1:4" s="91" customFormat="1" x14ac:dyDescent="0.3">
      <c r="A18" s="45"/>
      <c r="B18" s="83"/>
      <c r="C18" s="6"/>
    </row>
    <row r="19" spans="1:4" s="91" customFormat="1" x14ac:dyDescent="0.3">
      <c r="B19" s="9"/>
      <c r="C19" s="9"/>
    </row>
    <row r="20" spans="1:4" s="91" customFormat="1" x14ac:dyDescent="0.3"/>
    <row r="21" spans="1:4" s="91" customFormat="1" x14ac:dyDescent="0.3">
      <c r="A21" s="45"/>
      <c r="B21" s="83"/>
      <c r="C21" s="6"/>
    </row>
    <row r="22" spans="1:4" s="91" customFormat="1" x14ac:dyDescent="0.3">
      <c r="A22" s="45"/>
      <c r="B22" s="83"/>
      <c r="C22" s="6"/>
    </row>
    <row r="23" spans="1:4" s="91" customFormat="1" x14ac:dyDescent="0.3">
      <c r="A23" s="45"/>
      <c r="B23" s="83"/>
      <c r="C23" s="6"/>
    </row>
    <row r="24" spans="1:4" s="91" customFormat="1" x14ac:dyDescent="0.3">
      <c r="A24" s="45"/>
      <c r="B24" s="83"/>
      <c r="C24" s="6"/>
    </row>
    <row r="25" spans="1:4" s="91" customFormat="1" x14ac:dyDescent="0.3">
      <c r="A25" s="45"/>
      <c r="B25" s="83"/>
      <c r="C25" s="6"/>
    </row>
    <row r="26" spans="1:4" s="91" customFormat="1" x14ac:dyDescent="0.3">
      <c r="A26" s="45"/>
      <c r="B26" s="83"/>
      <c r="C26" s="6"/>
    </row>
    <row r="27" spans="1:4" s="465" customFormat="1" ht="29.4" customHeight="1" x14ac:dyDescent="0.35">
      <c r="A27" s="95" t="s">
        <v>643</v>
      </c>
      <c r="B27" s="83"/>
      <c r="C27" s="6"/>
    </row>
    <row r="28" spans="1:4" s="465" customFormat="1" x14ac:dyDescent="0.3">
      <c r="A28" s="45" t="s">
        <v>649</v>
      </c>
      <c r="B28" s="83"/>
      <c r="C28" s="6"/>
      <c r="D28" s="92" t="s">
        <v>265</v>
      </c>
    </row>
    <row r="29" spans="1:4" s="465" customFormat="1" ht="30" customHeight="1" x14ac:dyDescent="0.3">
      <c r="A29" s="969" t="s">
        <v>962</v>
      </c>
      <c r="B29" s="969"/>
      <c r="C29" s="969"/>
      <c r="D29" s="92"/>
    </row>
    <row r="30" spans="1:4" s="465" customFormat="1" x14ac:dyDescent="0.3">
      <c r="A30" s="969"/>
      <c r="B30" s="969"/>
      <c r="C30" s="969"/>
      <c r="D30" s="92"/>
    </row>
    <row r="31" spans="1:4" s="465" customFormat="1" x14ac:dyDescent="0.3">
      <c r="A31" s="45"/>
      <c r="B31" s="83"/>
      <c r="C31" s="6"/>
      <c r="D31" s="92"/>
    </row>
    <row r="32" spans="1:4" s="465" customFormat="1" ht="14.4" customHeight="1" thickBot="1" x14ac:dyDescent="0.35">
      <c r="A32" s="45"/>
      <c r="B32" s="83"/>
      <c r="C32" s="6"/>
      <c r="D32" s="92"/>
    </row>
    <row r="33" spans="1:10" s="465" customFormat="1" ht="15" thickBot="1" x14ac:dyDescent="0.35">
      <c r="A33" s="606" t="s">
        <v>742</v>
      </c>
      <c r="B33" s="607" t="s">
        <v>648</v>
      </c>
      <c r="C33" s="608" t="s">
        <v>647</v>
      </c>
    </row>
    <row r="34" spans="1:10" s="465" customFormat="1" x14ac:dyDescent="0.3">
      <c r="A34" s="454" t="s">
        <v>683</v>
      </c>
      <c r="B34" s="576">
        <f>'3. Trade in Services'!V184</f>
        <v>0.39457081276806399</v>
      </c>
      <c r="C34" s="609">
        <f>'2. Trade in Goods'!W189</f>
        <v>0.47589214928694273</v>
      </c>
    </row>
    <row r="35" spans="1:10" s="465" customFormat="1" ht="14.4" customHeight="1" x14ac:dyDescent="0.3">
      <c r="A35" s="454" t="s">
        <v>681</v>
      </c>
      <c r="B35" s="604">
        <v>7.1999999999999995E-2</v>
      </c>
      <c r="C35" s="610">
        <v>8.1000000000000003E-2</v>
      </c>
      <c r="D35" s="968"/>
      <c r="E35" s="968"/>
      <c r="F35" s="968"/>
      <c r="G35" s="968"/>
      <c r="H35" s="968"/>
      <c r="I35" s="968"/>
    </row>
    <row r="36" spans="1:10" s="91" customFormat="1" x14ac:dyDescent="0.3">
      <c r="A36" s="454" t="s">
        <v>680</v>
      </c>
      <c r="B36" s="603">
        <v>1.7999999999999999E-2</v>
      </c>
      <c r="C36" s="610">
        <v>6.0999999999999999E-2</v>
      </c>
      <c r="D36" s="968"/>
      <c r="E36" s="968"/>
      <c r="F36" s="968"/>
      <c r="G36" s="968"/>
      <c r="H36" s="968"/>
      <c r="I36" s="968"/>
    </row>
    <row r="37" spans="1:10" s="465" customFormat="1" ht="15" thickBot="1" x14ac:dyDescent="0.35">
      <c r="A37" s="454" t="s">
        <v>682</v>
      </c>
      <c r="B37" s="605">
        <f>1-(B34+B35+B36)</f>
        <v>0.51542918723193598</v>
      </c>
      <c r="C37" s="611">
        <f>1-(C34+C35+C36)</f>
        <v>0.38210785071305731</v>
      </c>
      <c r="D37" s="968"/>
      <c r="E37" s="968"/>
      <c r="F37" s="968"/>
      <c r="G37" s="968"/>
      <c r="H37" s="968"/>
      <c r="I37" s="968"/>
    </row>
    <row r="38" spans="1:10" s="465" customFormat="1" ht="15" thickBot="1" x14ac:dyDescent="0.35">
      <c r="A38" s="612" t="s">
        <v>652</v>
      </c>
      <c r="B38" s="613">
        <f>1-(B35+B36)/(B35+B36+B37)</f>
        <v>0.85134512524662675</v>
      </c>
      <c r="C38" s="614">
        <f>C37/(C35+C36+C37)</f>
        <v>0.72906339829329658</v>
      </c>
    </row>
    <row r="39" spans="1:10" s="465" customFormat="1" ht="55.2" customHeight="1" x14ac:dyDescent="0.3">
      <c r="A39" s="45"/>
      <c r="B39" s="83"/>
      <c r="C39" s="6"/>
    </row>
    <row r="40" spans="1:10" s="91" customFormat="1" ht="22.8" customHeight="1" x14ac:dyDescent="0.35">
      <c r="A40" s="95" t="s">
        <v>731</v>
      </c>
      <c r="B40" s="83"/>
      <c r="C40" s="6"/>
    </row>
    <row r="41" spans="1:10" s="91" customFormat="1" ht="63.6" customHeight="1" x14ac:dyDescent="0.3">
      <c r="A41" s="967" t="s">
        <v>744</v>
      </c>
      <c r="B41" s="967"/>
      <c r="C41" s="967"/>
      <c r="D41" s="967"/>
      <c r="E41" s="967"/>
      <c r="F41" s="967"/>
      <c r="G41" s="967"/>
      <c r="H41" s="967"/>
      <c r="I41" s="967"/>
      <c r="J41" s="967"/>
    </row>
    <row r="42" spans="1:10" ht="28.8" x14ac:dyDescent="0.3">
      <c r="A42" s="296" t="s">
        <v>437</v>
      </c>
      <c r="B42" s="297" t="s">
        <v>730</v>
      </c>
    </row>
    <row r="43" spans="1:10" x14ac:dyDescent="0.3">
      <c r="A43" s="70" t="s">
        <v>539</v>
      </c>
      <c r="B43" s="663">
        <f>'3. Trade in Services'!C103</f>
        <v>5.3851589948424872E-2</v>
      </c>
    </row>
    <row r="44" spans="1:10" x14ac:dyDescent="0.3">
      <c r="A44" s="70" t="s">
        <v>540</v>
      </c>
      <c r="B44" s="663">
        <f>'3. Trade in Services'!B103</f>
        <v>5.1311910835426966E-2</v>
      </c>
    </row>
    <row r="45" spans="1:10" x14ac:dyDescent="0.3">
      <c r="A45" s="70" t="s">
        <v>541</v>
      </c>
      <c r="B45" s="663">
        <f>'2. Trade in Goods'!C75</f>
        <v>3.1732489464868285E-2</v>
      </c>
      <c r="C45" s="560">
        <f>B45-B46</f>
        <v>2.8632277586251087E-2</v>
      </c>
    </row>
    <row r="46" spans="1:10" x14ac:dyDescent="0.3">
      <c r="A46" s="143" t="s">
        <v>438</v>
      </c>
      <c r="B46" s="576">
        <f>'2. Trade in Goods'!B75</f>
        <v>3.1002118786171984E-3</v>
      </c>
    </row>
    <row r="47" spans="1:10" s="91" customFormat="1" ht="192" customHeight="1" x14ac:dyDescent="0.3">
      <c r="A47" s="965" t="s">
        <v>732</v>
      </c>
      <c r="B47" s="965"/>
      <c r="C47" s="965"/>
      <c r="D47" s="965"/>
    </row>
    <row r="48" spans="1:10" s="91" customFormat="1" x14ac:dyDescent="0.3">
      <c r="C48" s="298"/>
    </row>
    <row r="49" spans="1:9" ht="28.8" x14ac:dyDescent="0.3">
      <c r="A49" s="296" t="s">
        <v>439</v>
      </c>
      <c r="B49" s="297" t="s">
        <v>730</v>
      </c>
    </row>
    <row r="50" spans="1:9" x14ac:dyDescent="0.3">
      <c r="A50" s="70" t="s">
        <v>440</v>
      </c>
      <c r="B50" s="663">
        <f>'3. Trade in Services'!F121</f>
        <v>4.5979002408236269E-2</v>
      </c>
      <c r="D50" s="560">
        <f>B44-B51</f>
        <v>2.0387431559692581E-2</v>
      </c>
    </row>
    <row r="51" spans="1:9" x14ac:dyDescent="0.3">
      <c r="A51" s="70" t="s">
        <v>441</v>
      </c>
      <c r="B51" s="663">
        <f>'3. Trade in Services'!F119</f>
        <v>3.0924479275734384E-2</v>
      </c>
      <c r="D51" s="561">
        <f>B53-B46</f>
        <v>2.6905630408402104E-2</v>
      </c>
    </row>
    <row r="52" spans="1:9" x14ac:dyDescent="0.3">
      <c r="A52" s="70" t="s">
        <v>442</v>
      </c>
      <c r="B52" s="663">
        <f>'2. Trade in Goods'!F94</f>
        <v>3.018512937515494E-2</v>
      </c>
    </row>
    <row r="53" spans="1:9" x14ac:dyDescent="0.3">
      <c r="A53" s="143" t="s">
        <v>443</v>
      </c>
      <c r="B53" s="576">
        <f>'2. Trade in Goods'!F92</f>
        <v>3.0005842287019302E-2</v>
      </c>
      <c r="D53" s="560">
        <f>B53-B46</f>
        <v>2.6905630408402104E-2</v>
      </c>
    </row>
    <row r="55" spans="1:9" ht="178.2" customHeight="1" x14ac:dyDescent="0.3">
      <c r="A55" s="965" t="s">
        <v>734</v>
      </c>
      <c r="B55" s="965"/>
      <c r="C55" s="965"/>
      <c r="D55" s="965"/>
    </row>
    <row r="57" spans="1:9" s="91" customFormat="1" ht="18" x14ac:dyDescent="0.35">
      <c r="A57" s="95" t="s">
        <v>733</v>
      </c>
      <c r="B57" s="6"/>
      <c r="E57" s="6"/>
      <c r="F57" s="78"/>
    </row>
    <row r="58" spans="1:9" s="91" customFormat="1" x14ac:dyDescent="0.3">
      <c r="A58" s="140" t="s">
        <v>738</v>
      </c>
      <c r="B58" s="276" t="s">
        <v>736</v>
      </c>
      <c r="C58" s="276" t="s">
        <v>737</v>
      </c>
    </row>
    <row r="59" spans="1:9" s="91" customFormat="1" x14ac:dyDescent="0.3">
      <c r="A59" s="70" t="s">
        <v>144</v>
      </c>
      <c r="B59" s="506">
        <f>'2. Trade in Goods'!C138+'2. Trade in Goods'!C139+'2. Trade in Goods'!C143+'2. Trade in Goods'!C144</f>
        <v>472.59635102737406</v>
      </c>
      <c r="C59" s="275">
        <f>B70</f>
        <v>814.51300000000003</v>
      </c>
    </row>
    <row r="60" spans="1:9" s="91" customFormat="1" x14ac:dyDescent="0.3">
      <c r="A60" s="70" t="s">
        <v>145</v>
      </c>
      <c r="B60" s="44">
        <f>'3. Trade in Services'!B173+'3. Trade in Services'!B174+'3. Trade in Services'!B178+'3. Trade in Services'!B179</f>
        <v>139.392</v>
      </c>
      <c r="C60" s="275">
        <f>'3. Trade in Services'!T173+'3. Trade in Services'!T174+'3. Trade in Services'!T178+'3. Trade in Services'!T179</f>
        <v>444.49800000000005</v>
      </c>
      <c r="F60" s="45"/>
      <c r="G60" s="81"/>
      <c r="I60" s="90"/>
    </row>
    <row r="61" spans="1:9" s="91" customFormat="1" x14ac:dyDescent="0.3">
      <c r="A61" s="281" t="s">
        <v>146</v>
      </c>
      <c r="B61" s="282">
        <f>B59+B60</f>
        <v>611.98835102737405</v>
      </c>
      <c r="C61" s="282">
        <f>C59+C60</f>
        <v>1259.011</v>
      </c>
      <c r="D61" s="6"/>
    </row>
    <row r="62" spans="1:9" s="91" customFormat="1" x14ac:dyDescent="0.3">
      <c r="A62" s="6"/>
      <c r="B62" s="277"/>
      <c r="C62" s="6"/>
    </row>
    <row r="63" spans="1:9" s="91" customFormat="1" x14ac:dyDescent="0.3">
      <c r="B63" s="278"/>
      <c r="C63" s="6"/>
      <c r="H63" s="82"/>
    </row>
    <row r="64" spans="1:9" s="91" customFormat="1" x14ac:dyDescent="0.3">
      <c r="A64" s="140" t="s">
        <v>158</v>
      </c>
      <c r="B64" s="276" t="s">
        <v>736</v>
      </c>
      <c r="C64" s="276" t="s">
        <v>737</v>
      </c>
      <c r="D64" s="6"/>
      <c r="I64" s="90"/>
    </row>
    <row r="65" spans="1:10" s="91" customFormat="1" x14ac:dyDescent="0.3">
      <c r="A65" s="70" t="s">
        <v>147</v>
      </c>
      <c r="B65" s="497">
        <f>'2. Trade in Goods'!B7</f>
        <v>167.78399999999999</v>
      </c>
      <c r="C65" s="279">
        <f>B71</f>
        <v>338.73899999999998</v>
      </c>
      <c r="D65" s="6"/>
    </row>
    <row r="66" spans="1:10" s="6" customFormat="1" x14ac:dyDescent="0.3">
      <c r="A66" s="70" t="s">
        <v>148</v>
      </c>
      <c r="B66" s="497">
        <f>'3. Trade in Services'!B173+'3. Trade in Services'!B178</f>
        <v>76.484999999999999</v>
      </c>
      <c r="C66" s="279">
        <f>'3. Trade in Services'!T173+'3. Trade in Services'!T178</f>
        <v>278.8</v>
      </c>
      <c r="G66" s="78"/>
      <c r="H66" s="91"/>
      <c r="I66" s="91"/>
      <c r="J66" s="91"/>
    </row>
    <row r="67" spans="1:10" s="91" customFormat="1" x14ac:dyDescent="0.3">
      <c r="A67" s="177" t="s">
        <v>63</v>
      </c>
      <c r="B67" s="280">
        <f>B65+B66</f>
        <v>244.26900000000001</v>
      </c>
      <c r="C67" s="280">
        <f>C65+C66</f>
        <v>617.53899999999999</v>
      </c>
    </row>
    <row r="68" spans="1:10" s="91" customFormat="1" x14ac:dyDescent="0.3">
      <c r="A68" s="45"/>
      <c r="B68" s="83"/>
    </row>
    <row r="69" spans="1:10" s="91" customFormat="1" x14ac:dyDescent="0.3">
      <c r="A69" s="140" t="s">
        <v>523</v>
      </c>
      <c r="B69" s="192" t="s">
        <v>143</v>
      </c>
    </row>
    <row r="70" spans="1:10" s="91" customFormat="1" x14ac:dyDescent="0.3">
      <c r="A70" s="70" t="s">
        <v>152</v>
      </c>
      <c r="B70" s="275">
        <f>('2. Trade in Goods'!U177+'2. Trade in Goods'!U178+'2. Trade in Goods'!U184+'2. Trade in Goods'!U185)/1000</f>
        <v>814.51300000000003</v>
      </c>
    </row>
    <row r="71" spans="1:10" s="91" customFormat="1" x14ac:dyDescent="0.3">
      <c r="A71" s="70" t="s">
        <v>154</v>
      </c>
      <c r="B71" s="275">
        <f>('2. Trade in Goods'!U177+'2. Trade in Goods'!U184)/1000</f>
        <v>338.73899999999998</v>
      </c>
    </row>
    <row r="72" spans="1:10" s="91" customFormat="1" x14ac:dyDescent="0.3">
      <c r="A72" s="177" t="s">
        <v>156</v>
      </c>
      <c r="B72" s="280">
        <f>(B70-B71)-B71</f>
        <v>137.03500000000008</v>
      </c>
    </row>
    <row r="73" spans="1:10" s="91" customFormat="1" x14ac:dyDescent="0.3">
      <c r="B73" s="257"/>
    </row>
    <row r="74" spans="1:10" s="91" customFormat="1" x14ac:dyDescent="0.3">
      <c r="B74" s="257"/>
    </row>
    <row r="75" spans="1:10" s="91" customFormat="1" x14ac:dyDescent="0.3">
      <c r="A75" s="140" t="s">
        <v>524</v>
      </c>
      <c r="B75" s="276" t="s">
        <v>143</v>
      </c>
      <c r="C75" s="6"/>
      <c r="H75" s="90"/>
    </row>
    <row r="76" spans="1:10" s="91" customFormat="1" x14ac:dyDescent="0.3">
      <c r="A76" s="70" t="s">
        <v>153</v>
      </c>
      <c r="B76" s="275">
        <f>C60</f>
        <v>444.49800000000005</v>
      </c>
      <c r="C76" s="6"/>
    </row>
    <row r="77" spans="1:10" s="91" customFormat="1" x14ac:dyDescent="0.3">
      <c r="A77" s="70" t="s">
        <v>155</v>
      </c>
      <c r="B77" s="275">
        <f>C66</f>
        <v>278.8</v>
      </c>
      <c r="C77" s="6"/>
    </row>
    <row r="78" spans="1:10" s="91" customFormat="1" x14ac:dyDescent="0.3">
      <c r="A78" s="177" t="s">
        <v>157</v>
      </c>
      <c r="B78" s="280">
        <f>B77-(B76-B77)</f>
        <v>113.10199999999998</v>
      </c>
      <c r="C78" s="6"/>
    </row>
    <row r="79" spans="1:10" s="465" customFormat="1" x14ac:dyDescent="0.3">
      <c r="A79" s="661"/>
      <c r="B79" s="662"/>
      <c r="C79" s="6"/>
    </row>
    <row r="80" spans="1:10" s="465" customFormat="1" x14ac:dyDescent="0.3">
      <c r="A80" s="661"/>
      <c r="B80" s="662"/>
      <c r="C80" s="6"/>
    </row>
    <row r="81" spans="1:3" s="465" customFormat="1" ht="16.8" customHeight="1" x14ac:dyDescent="0.3">
      <c r="A81" s="6"/>
      <c r="C81" s="6"/>
    </row>
    <row r="82" spans="1:3" s="465" customFormat="1" ht="16.8" customHeight="1" x14ac:dyDescent="0.3">
      <c r="A82" s="140" t="s">
        <v>741</v>
      </c>
      <c r="B82" s="276" t="s">
        <v>736</v>
      </c>
      <c r="C82" s="276" t="s">
        <v>737</v>
      </c>
    </row>
    <row r="83" spans="1:3" s="465" customFormat="1" ht="16.8" customHeight="1" x14ac:dyDescent="0.3">
      <c r="A83" s="70" t="s">
        <v>739</v>
      </c>
      <c r="B83" s="44">
        <f>'2. Trade in Goods'!C177/1000</f>
        <v>102.352</v>
      </c>
      <c r="C83" s="279">
        <f>B8</f>
        <v>172.21100000000001</v>
      </c>
    </row>
    <row r="84" spans="1:3" s="465" customFormat="1" ht="16.8" customHeight="1" x14ac:dyDescent="0.3">
      <c r="A84" s="70" t="s">
        <v>740</v>
      </c>
      <c r="B84" s="44">
        <f>'2. Trade in Goods'!C184/1000</f>
        <v>65.432000000000002</v>
      </c>
      <c r="C84" s="279">
        <f>C8</f>
        <v>178.44</v>
      </c>
    </row>
    <row r="85" spans="1:3" s="465" customFormat="1" ht="16.8" customHeight="1" x14ac:dyDescent="0.3">
      <c r="A85" s="177" t="s">
        <v>63</v>
      </c>
      <c r="B85" s="280">
        <f>B83+B84</f>
        <v>167.78399999999999</v>
      </c>
      <c r="C85" s="280">
        <f>C83+C84</f>
        <v>350.65100000000001</v>
      </c>
    </row>
    <row r="86" spans="1:3" s="465" customFormat="1" x14ac:dyDescent="0.3">
      <c r="A86" s="6"/>
      <c r="C86" s="6"/>
    </row>
    <row r="88" spans="1:3" x14ac:dyDescent="0.3">
      <c r="A88" s="210" t="s">
        <v>651</v>
      </c>
      <c r="B88" s="495" t="s">
        <v>96</v>
      </c>
      <c r="C88" s="495" t="s">
        <v>86</v>
      </c>
    </row>
    <row r="89" spans="1:3" s="465" customFormat="1" x14ac:dyDescent="0.3">
      <c r="A89" s="210" t="s">
        <v>566</v>
      </c>
      <c r="B89" s="494">
        <f>'2. Trade in Goods'!C75</f>
        <v>3.1732489464868285E-2</v>
      </c>
      <c r="C89" s="494">
        <f>'2. Trade in Goods'!C76</f>
        <v>3.018512937515494E-2</v>
      </c>
    </row>
    <row r="90" spans="1:3" s="465" customFormat="1" x14ac:dyDescent="0.3">
      <c r="A90" s="210" t="s">
        <v>567</v>
      </c>
      <c r="B90" s="494">
        <f>'2. Trade in Goods'!B75</f>
        <v>3.1002118786171984E-3</v>
      </c>
      <c r="C90" s="494">
        <f>'2. Trade in Goods'!B76</f>
        <v>3.0005842287019302E-2</v>
      </c>
    </row>
    <row r="91" spans="1:3" x14ac:dyDescent="0.3">
      <c r="A91" s="131" t="s">
        <v>568</v>
      </c>
      <c r="B91" s="466">
        <f>'3. Trade in Services'!C103</f>
        <v>5.3851589948424872E-2</v>
      </c>
      <c r="C91" s="466">
        <f>'3. Trade in Services'!C104</f>
        <v>4.5979002408236269E-2</v>
      </c>
    </row>
    <row r="92" spans="1:3" x14ac:dyDescent="0.3">
      <c r="A92" s="131" t="s">
        <v>569</v>
      </c>
      <c r="B92" s="466">
        <f>'3. Trade in Services'!B103</f>
        <v>5.1311910835426966E-2</v>
      </c>
      <c r="C92" s="466">
        <f>'3. Trade in Services'!B104</f>
        <v>3.0924479275734384E-2</v>
      </c>
    </row>
    <row r="94" spans="1:3" ht="14.4" customHeight="1" x14ac:dyDescent="0.3">
      <c r="A94" s="965" t="s">
        <v>735</v>
      </c>
      <c r="B94" s="965"/>
      <c r="C94" s="965"/>
    </row>
    <row r="95" spans="1:3" x14ac:dyDescent="0.3">
      <c r="A95" s="965"/>
      <c r="B95" s="965"/>
      <c r="C95" s="965"/>
    </row>
    <row r="96" spans="1:3" x14ac:dyDescent="0.3">
      <c r="A96" s="965"/>
      <c r="B96" s="965"/>
      <c r="C96" s="965"/>
    </row>
    <row r="97" spans="1:3" x14ac:dyDescent="0.3">
      <c r="A97" s="965"/>
      <c r="B97" s="965"/>
      <c r="C97" s="965"/>
    </row>
    <row r="98" spans="1:3" x14ac:dyDescent="0.3">
      <c r="A98" s="965"/>
      <c r="B98" s="965"/>
      <c r="C98" s="965"/>
    </row>
    <row r="99" spans="1:3" x14ac:dyDescent="0.3">
      <c r="A99" s="965"/>
      <c r="B99" s="965"/>
      <c r="C99" s="965"/>
    </row>
    <row r="100" spans="1:3" x14ac:dyDescent="0.3">
      <c r="A100" s="965"/>
      <c r="B100" s="965"/>
      <c r="C100" s="965"/>
    </row>
    <row r="101" spans="1:3" x14ac:dyDescent="0.3">
      <c r="A101" s="965"/>
      <c r="B101" s="965"/>
      <c r="C101" s="965"/>
    </row>
    <row r="102" spans="1:3" x14ac:dyDescent="0.3">
      <c r="A102" s="965"/>
      <c r="B102" s="965"/>
      <c r="C102" s="965"/>
    </row>
    <row r="103" spans="1:3" x14ac:dyDescent="0.3">
      <c r="A103" s="965"/>
      <c r="B103" s="965"/>
      <c r="C103" s="965"/>
    </row>
    <row r="104" spans="1:3" ht="90.6" customHeight="1" x14ac:dyDescent="0.3">
      <c r="A104" s="965"/>
      <c r="B104" s="965"/>
      <c r="C104" s="965"/>
    </row>
    <row r="106" spans="1:3" ht="19.2" customHeight="1" x14ac:dyDescent="0.35">
      <c r="A106" s="95" t="s">
        <v>845</v>
      </c>
    </row>
    <row r="107" spans="1:3" s="465" customFormat="1" ht="255.6" customHeight="1" x14ac:dyDescent="0.3">
      <c r="A107" s="964" t="s">
        <v>846</v>
      </c>
      <c r="B107" s="964"/>
      <c r="C107" s="964"/>
    </row>
    <row r="108" spans="1:3" s="465" customFormat="1" ht="27.6" customHeight="1" x14ac:dyDescent="0.3">
      <c r="A108" s="735"/>
      <c r="B108" s="735"/>
      <c r="C108" s="735"/>
    </row>
    <row r="109" spans="1:3" s="465" customFormat="1" ht="23.4" customHeight="1" x14ac:dyDescent="0.35">
      <c r="A109" s="95" t="s">
        <v>854</v>
      </c>
      <c r="B109" s="735"/>
      <c r="C109" s="735"/>
    </row>
    <row r="110" spans="1:3" s="465" customFormat="1" ht="21.6" customHeight="1" x14ac:dyDescent="0.3">
      <c r="A110" s="735"/>
      <c r="B110" s="735"/>
      <c r="C110" s="735"/>
    </row>
    <row r="111" spans="1:3" s="465" customFormat="1" ht="32.4" customHeight="1" x14ac:dyDescent="0.3">
      <c r="A111" s="736" t="s">
        <v>853</v>
      </c>
      <c r="B111" s="736" t="s">
        <v>852</v>
      </c>
      <c r="C111" s="737" t="s">
        <v>851</v>
      </c>
    </row>
    <row r="112" spans="1:3" s="465" customFormat="1" ht="21.6" customHeight="1" x14ac:dyDescent="0.3">
      <c r="A112" s="738" t="s">
        <v>855</v>
      </c>
      <c r="B112" s="740">
        <f>'3. Trade in Services'!U178</f>
        <v>166.70400000000001</v>
      </c>
      <c r="C112" s="739">
        <f>B91</f>
        <v>5.3851589948424872E-2</v>
      </c>
    </row>
    <row r="113" spans="1:4" s="465" customFormat="1" ht="16.8" customHeight="1" x14ac:dyDescent="0.3">
      <c r="A113" s="738" t="s">
        <v>856</v>
      </c>
      <c r="B113" s="740">
        <f>'3. Trade in Services'!U173</f>
        <v>116.70699999999999</v>
      </c>
      <c r="C113" s="739">
        <f>B92</f>
        <v>5.1311910835426966E-2</v>
      </c>
    </row>
    <row r="114" spans="1:4" s="465" customFormat="1" ht="18.600000000000001" customHeight="1" x14ac:dyDescent="0.3">
      <c r="A114" s="738" t="s">
        <v>857</v>
      </c>
      <c r="B114" s="740">
        <f>'3. Trade in Services'!U179</f>
        <v>88.983999999999995</v>
      </c>
      <c r="C114" s="739">
        <f>C91</f>
        <v>4.5979002408236269E-2</v>
      </c>
    </row>
    <row r="115" spans="1:4" s="465" customFormat="1" ht="18.600000000000001" customHeight="1" x14ac:dyDescent="0.3">
      <c r="A115" s="738" t="s">
        <v>858</v>
      </c>
      <c r="B115" s="740">
        <f>'2. Trade in Goods'!U184/1000</f>
        <v>174.65799999999999</v>
      </c>
      <c r="C115" s="739">
        <f>B89</f>
        <v>3.1732489464868285E-2</v>
      </c>
    </row>
    <row r="116" spans="1:4" s="465" customFormat="1" ht="18.600000000000001" customHeight="1" x14ac:dyDescent="0.3">
      <c r="A116" s="738" t="s">
        <v>859</v>
      </c>
      <c r="B116" s="740">
        <f>'3. Trade in Services'!U174</f>
        <v>87.302999999999997</v>
      </c>
      <c r="C116" s="739">
        <f>C92</f>
        <v>3.0924479275734384E-2</v>
      </c>
    </row>
    <row r="117" spans="1:4" s="465" customFormat="1" ht="18.600000000000001" customHeight="1" x14ac:dyDescent="0.3">
      <c r="A117" s="738" t="s">
        <v>860</v>
      </c>
      <c r="B117" s="740">
        <f>'2. Trade in Goods'!V185/1000</f>
        <v>223.08099999999999</v>
      </c>
      <c r="C117" s="739">
        <f>C89</f>
        <v>3.018512937515494E-2</v>
      </c>
    </row>
    <row r="118" spans="1:4" s="465" customFormat="1" ht="21" customHeight="1" x14ac:dyDescent="0.3">
      <c r="A118" s="738" t="s">
        <v>861</v>
      </c>
      <c r="B118" s="740">
        <f>'2. Trade in Goods'!V178/1000</f>
        <v>265.66300000000001</v>
      </c>
      <c r="C118" s="739">
        <f>C90</f>
        <v>3.0005842287019302E-2</v>
      </c>
    </row>
    <row r="119" spans="1:4" s="465" customFormat="1" ht="19.2" customHeight="1" x14ac:dyDescent="0.3">
      <c r="A119" s="738" t="s">
        <v>862</v>
      </c>
      <c r="B119" s="740">
        <f>'2. Trade in Goods'!V177/1000</f>
        <v>172.21100000000001</v>
      </c>
      <c r="C119" s="739">
        <f>B90</f>
        <v>3.1002118786171984E-3</v>
      </c>
    </row>
    <row r="120" spans="1:4" s="465" customFormat="1" ht="19.2" customHeight="1" x14ac:dyDescent="0.3">
      <c r="A120" s="742"/>
      <c r="B120" s="743"/>
      <c r="C120" s="744"/>
    </row>
    <row r="121" spans="1:4" s="465" customFormat="1" ht="21" customHeight="1" x14ac:dyDescent="0.3"/>
    <row r="122" spans="1:4" s="465" customFormat="1" ht="21" customHeight="1" thickBot="1" x14ac:dyDescent="0.4">
      <c r="A122" s="95" t="s">
        <v>868</v>
      </c>
    </row>
    <row r="123" spans="1:4" s="465" customFormat="1" ht="21" customHeight="1" x14ac:dyDescent="0.3">
      <c r="A123" s="283" t="s">
        <v>760</v>
      </c>
      <c r="B123" s="470" t="s">
        <v>137</v>
      </c>
      <c r="C123" s="470" t="s">
        <v>64</v>
      </c>
      <c r="D123" s="285" t="s">
        <v>319</v>
      </c>
    </row>
    <row r="124" spans="1:4" s="465" customFormat="1" ht="21" customHeight="1" x14ac:dyDescent="0.3">
      <c r="A124" s="292" t="s">
        <v>458</v>
      </c>
      <c r="B124" s="346">
        <f>'2. Trade in Goods'!B177/1000</f>
        <v>100.111</v>
      </c>
      <c r="C124" s="346">
        <f>'2. Trade in Goods'!B184/1000</f>
        <v>65.168000000000006</v>
      </c>
      <c r="D124" s="317">
        <f>B124+C124</f>
        <v>165.279</v>
      </c>
    </row>
    <row r="125" spans="1:4" s="465" customFormat="1" ht="21" customHeight="1" x14ac:dyDescent="0.3">
      <c r="A125" s="292" t="s">
        <v>743</v>
      </c>
      <c r="B125" s="346">
        <f>'3. Trade in Services'!B173</f>
        <v>30.99</v>
      </c>
      <c r="C125" s="346">
        <f>'3. Trade in Services'!B178</f>
        <v>45.494999999999997</v>
      </c>
      <c r="D125" s="317">
        <f>C125+B125</f>
        <v>76.484999999999999</v>
      </c>
    </row>
    <row r="126" spans="1:4" s="465" customFormat="1" ht="21" customHeight="1" thickBot="1" x14ac:dyDescent="0.35">
      <c r="A126" s="318" t="s">
        <v>172</v>
      </c>
      <c r="B126" s="348">
        <f>B124+B125</f>
        <v>131.101</v>
      </c>
      <c r="C126" s="347">
        <f>C124+C125</f>
        <v>110.66300000000001</v>
      </c>
      <c r="D126" s="319">
        <f>D124+D125</f>
        <v>241.76400000000001</v>
      </c>
    </row>
    <row r="127" spans="1:4" s="465" customFormat="1" ht="21" customHeight="1" thickBot="1" x14ac:dyDescent="0.35">
      <c r="A127" s="320" t="s">
        <v>431</v>
      </c>
      <c r="B127" s="370">
        <f>B126/D126</f>
        <v>0.54226849324134274</v>
      </c>
      <c r="C127" s="371">
        <f>C126/D126</f>
        <v>0.4577315067586572</v>
      </c>
    </row>
    <row r="128" spans="1:4" s="465" customFormat="1" ht="21" customHeight="1" thickBot="1" x14ac:dyDescent="0.35"/>
    <row r="129" spans="1:21" s="465" customFormat="1" ht="31.8" customHeight="1" x14ac:dyDescent="0.3">
      <c r="A129" s="283" t="s">
        <v>865</v>
      </c>
      <c r="B129" s="486" t="s">
        <v>864</v>
      </c>
    </row>
    <row r="130" spans="1:21" s="465" customFormat="1" ht="21" customHeight="1" x14ac:dyDescent="0.3">
      <c r="A130" s="741" t="s">
        <v>866</v>
      </c>
      <c r="B130" s="467">
        <f>B124/D126</f>
        <v>0.41408563723300407</v>
      </c>
    </row>
    <row r="131" spans="1:21" s="465" customFormat="1" ht="21.6" customHeight="1" x14ac:dyDescent="0.3">
      <c r="A131" s="741" t="s">
        <v>867</v>
      </c>
      <c r="B131" s="467">
        <f>B8/D10</f>
        <v>0.27159962274982574</v>
      </c>
    </row>
    <row r="132" spans="1:21" s="465" customFormat="1" ht="21.6" customHeight="1" x14ac:dyDescent="0.3"/>
    <row r="133" spans="1:21" s="106" customFormat="1" x14ac:dyDescent="0.3">
      <c r="A133" s="104" t="s">
        <v>844</v>
      </c>
      <c r="B133" s="105" t="s">
        <v>1</v>
      </c>
      <c r="C133" s="105" t="s">
        <v>2</v>
      </c>
      <c r="D133" s="105" t="s">
        <v>3</v>
      </c>
      <c r="E133" s="105" t="s">
        <v>4</v>
      </c>
      <c r="F133" s="105" t="s">
        <v>5</v>
      </c>
      <c r="G133" s="105" t="s">
        <v>6</v>
      </c>
      <c r="H133" s="105" t="s">
        <v>7</v>
      </c>
      <c r="I133" s="105" t="s">
        <v>8</v>
      </c>
      <c r="J133" s="105" t="s">
        <v>9</v>
      </c>
      <c r="K133" s="105" t="s">
        <v>10</v>
      </c>
      <c r="L133" s="105" t="s">
        <v>11</v>
      </c>
      <c r="M133" s="105" t="s">
        <v>12</v>
      </c>
      <c r="N133" s="105" t="s">
        <v>13</v>
      </c>
      <c r="O133" s="105" t="s">
        <v>14</v>
      </c>
      <c r="P133" s="105" t="s">
        <v>15</v>
      </c>
      <c r="Q133" s="105" t="s">
        <v>16</v>
      </c>
      <c r="R133" s="105" t="s">
        <v>17</v>
      </c>
      <c r="S133" s="105" t="s">
        <v>18</v>
      </c>
      <c r="T133" s="105">
        <v>2017</v>
      </c>
      <c r="U133" s="105">
        <v>2018</v>
      </c>
    </row>
    <row r="134" spans="1:21" s="465" customFormat="1" ht="21.6" customHeight="1" x14ac:dyDescent="0.3">
      <c r="A134" s="2" t="s">
        <v>869</v>
      </c>
      <c r="B134" s="734">
        <f t="shared" ref="B134:O134" si="0">B147/(B160+B156+B151+B147)</f>
        <v>0.41901346466395656</v>
      </c>
      <c r="C134" s="734">
        <f t="shared" si="0"/>
        <v>0.41579240228322117</v>
      </c>
      <c r="D134" s="734">
        <f t="shared" si="0"/>
        <v>0.40904750280019525</v>
      </c>
      <c r="E134" s="734">
        <f t="shared" si="0"/>
        <v>0.40892781426041597</v>
      </c>
      <c r="F134" s="734">
        <f t="shared" si="0"/>
        <v>0.37973206509906382</v>
      </c>
      <c r="G134" s="734">
        <f t="shared" si="0"/>
        <v>0.36540963980845304</v>
      </c>
      <c r="H134" s="734">
        <f t="shared" si="0"/>
        <v>0.35541770033786835</v>
      </c>
      <c r="I134" s="734">
        <f t="shared" si="0"/>
        <v>0.391581059553958</v>
      </c>
      <c r="J134" s="734">
        <f t="shared" si="0"/>
        <v>0.33437072012730379</v>
      </c>
      <c r="K134" s="734">
        <f t="shared" si="0"/>
        <v>0.33711711413129675</v>
      </c>
      <c r="L134" s="734">
        <f t="shared" si="0"/>
        <v>0.31258224113785665</v>
      </c>
      <c r="M134" s="734">
        <f t="shared" si="0"/>
        <v>0.32322120750547434</v>
      </c>
      <c r="N134" s="734">
        <f t="shared" si="0"/>
        <v>0.32533915502860244</v>
      </c>
      <c r="O134" s="734">
        <f t="shared" si="0"/>
        <v>0.30213653708231142</v>
      </c>
      <c r="P134" s="734">
        <f t="shared" ref="P134:U134" si="1">P147/(P160+P156+P151+P147)</f>
        <v>0.28885480377287853</v>
      </c>
      <c r="Q134" s="734">
        <f t="shared" si="1"/>
        <v>0.28228763847993055</v>
      </c>
      <c r="R134" s="734">
        <f t="shared" si="1"/>
        <v>0.25723908315852273</v>
      </c>
      <c r="S134" s="734">
        <f t="shared" si="1"/>
        <v>0.25622081258831408</v>
      </c>
      <c r="T134" s="734">
        <f t="shared" si="1"/>
        <v>0.26570143748006197</v>
      </c>
      <c r="U134" s="734">
        <f t="shared" si="1"/>
        <v>0.27159962274982574</v>
      </c>
    </row>
    <row r="135" spans="1:21" s="465" customFormat="1" ht="21.6" customHeight="1" x14ac:dyDescent="0.3">
      <c r="A135" s="2" t="s">
        <v>870</v>
      </c>
      <c r="B135" s="565">
        <f t="shared" ref="B135:O135" si="2">(B151+B160)/(B147+B151+B156+B160)</f>
        <v>0.45411820574858042</v>
      </c>
      <c r="C135" s="565">
        <f t="shared" si="2"/>
        <v>0.45989070313334884</v>
      </c>
      <c r="D135" s="565">
        <f t="shared" si="2"/>
        <v>0.45746934145150636</v>
      </c>
      <c r="E135" s="565">
        <f t="shared" si="2"/>
        <v>0.45435434044418149</v>
      </c>
      <c r="F135" s="565">
        <f t="shared" si="2"/>
        <v>0.47334598846070103</v>
      </c>
      <c r="G135" s="565">
        <f t="shared" si="2"/>
        <v>0.48214006870705806</v>
      </c>
      <c r="H135" s="565">
        <f t="shared" si="2"/>
        <v>0.48439654493882506</v>
      </c>
      <c r="I135" s="565">
        <f t="shared" si="2"/>
        <v>0.45528857936443096</v>
      </c>
      <c r="J135" s="565">
        <f t="shared" si="2"/>
        <v>0.49274133590723512</v>
      </c>
      <c r="K135" s="565">
        <f t="shared" si="2"/>
        <v>0.49728349001105543</v>
      </c>
      <c r="L135" s="565">
        <f t="shared" si="2"/>
        <v>0.51205291292202615</v>
      </c>
      <c r="M135" s="565">
        <f t="shared" si="2"/>
        <v>0.51131882608977663</v>
      </c>
      <c r="N135" s="565">
        <f t="shared" si="2"/>
        <v>0.51383984212712919</v>
      </c>
      <c r="O135" s="565">
        <f t="shared" si="2"/>
        <v>0.53358943777216872</v>
      </c>
      <c r="P135" s="565">
        <f t="shared" ref="P135:U135" si="3">(P151+P160)/(P147+P151+P156+P160)</f>
        <v>0.55652441330516544</v>
      </c>
      <c r="Q135" s="565">
        <f t="shared" si="3"/>
        <v>0.5435543886894284</v>
      </c>
      <c r="R135" s="565">
        <f t="shared" si="3"/>
        <v>0.56676738322973008</v>
      </c>
      <c r="S135" s="565">
        <f t="shared" si="3"/>
        <v>0.56829113708141132</v>
      </c>
      <c r="T135" s="565">
        <f t="shared" si="3"/>
        <v>0.54829735449906813</v>
      </c>
      <c r="U135" s="565">
        <f t="shared" si="3"/>
        <v>0.54433793540694764</v>
      </c>
    </row>
    <row r="136" spans="1:21" s="465" customFormat="1" ht="21.6" customHeight="1" x14ac:dyDescent="0.3"/>
    <row r="137" spans="1:21" s="465" customFormat="1" ht="21.6" customHeight="1" x14ac:dyDescent="0.3"/>
    <row r="138" spans="1:21" s="963" customFormat="1" x14ac:dyDescent="0.3"/>
    <row r="139" spans="1:21" s="106" customFormat="1" x14ac:dyDescent="0.3">
      <c r="A139" s="104" t="s">
        <v>844</v>
      </c>
      <c r="B139" s="105" t="s">
        <v>1</v>
      </c>
      <c r="C139" s="105" t="s">
        <v>2</v>
      </c>
      <c r="D139" s="105" t="s">
        <v>3</v>
      </c>
      <c r="E139" s="105" t="s">
        <v>4</v>
      </c>
      <c r="F139" s="105" t="s">
        <v>5</v>
      </c>
      <c r="G139" s="105" t="s">
        <v>6</v>
      </c>
      <c r="H139" s="105" t="s">
        <v>7</v>
      </c>
      <c r="I139" s="105" t="s">
        <v>8</v>
      </c>
      <c r="J139" s="105" t="s">
        <v>9</v>
      </c>
      <c r="K139" s="105" t="s">
        <v>10</v>
      </c>
      <c r="L139" s="105" t="s">
        <v>11</v>
      </c>
      <c r="M139" s="105" t="s">
        <v>12</v>
      </c>
      <c r="N139" s="105" t="s">
        <v>13</v>
      </c>
      <c r="O139" s="105" t="s">
        <v>14</v>
      </c>
      <c r="P139" s="105" t="s">
        <v>15</v>
      </c>
      <c r="Q139" s="105" t="s">
        <v>16</v>
      </c>
      <c r="R139" s="105" t="s">
        <v>17</v>
      </c>
      <c r="S139" s="105" t="s">
        <v>18</v>
      </c>
      <c r="T139" s="105">
        <v>2017</v>
      </c>
      <c r="U139" s="105">
        <v>2018</v>
      </c>
    </row>
    <row r="140" spans="1:21" x14ac:dyDescent="0.3">
      <c r="A140" t="s">
        <v>849</v>
      </c>
      <c r="B140" s="734">
        <f>B147/(B151+B147)</f>
        <v>0.61002240976493594</v>
      </c>
      <c r="C140" s="734">
        <f t="shared" ref="C140:U140" si="4">C147/(C151+C147)</f>
        <v>0.59713166807790008</v>
      </c>
      <c r="D140" s="734">
        <f t="shared" si="4"/>
        <v>0.60116707908385347</v>
      </c>
      <c r="E140" s="734">
        <f t="shared" si="4"/>
        <v>0.61385979738764862</v>
      </c>
      <c r="F140" s="734">
        <f t="shared" si="4"/>
        <v>0.59155564034892472</v>
      </c>
      <c r="G140" s="734">
        <f t="shared" si="4"/>
        <v>0.58589662672849518</v>
      </c>
      <c r="H140" s="734">
        <f t="shared" si="4"/>
        <v>0.57304812532607619</v>
      </c>
      <c r="I140" s="734">
        <f t="shared" si="4"/>
        <v>0.62668584199151001</v>
      </c>
      <c r="J140" s="734">
        <f t="shared" si="4"/>
        <v>0.57600977872049752</v>
      </c>
      <c r="K140" s="734">
        <f t="shared" si="4"/>
        <v>0.56451504207976722</v>
      </c>
      <c r="L140" s="734">
        <f t="shared" si="4"/>
        <v>0.55269963582625214</v>
      </c>
      <c r="M140" s="734">
        <f t="shared" si="4"/>
        <v>0.54115347311421258</v>
      </c>
      <c r="N140" s="734">
        <f t="shared" si="4"/>
        <v>0.53614501454885399</v>
      </c>
      <c r="O140" s="734">
        <f t="shared" si="4"/>
        <v>0.50937579328496796</v>
      </c>
      <c r="P140" s="734">
        <f t="shared" si="4"/>
        <v>0.50342221778354812</v>
      </c>
      <c r="Q140" s="734">
        <f t="shared" si="4"/>
        <v>0.50107124824301652</v>
      </c>
      <c r="R140" s="734">
        <f t="shared" si="4"/>
        <v>0.46613101216382102</v>
      </c>
      <c r="S140" s="734">
        <f t="shared" si="4"/>
        <v>0.47715775078325368</v>
      </c>
      <c r="T140" s="734">
        <f t="shared" si="4"/>
        <v>0.48438768491375367</v>
      </c>
      <c r="U140" s="734">
        <f t="shared" si="4"/>
        <v>0.49111794918594276</v>
      </c>
    </row>
    <row r="141" spans="1:21" x14ac:dyDescent="0.3">
      <c r="A141" t="s">
        <v>850</v>
      </c>
      <c r="B141" s="734">
        <f>B148/(B152+B148)</f>
        <v>0.56181699559615073</v>
      </c>
      <c r="C141" s="734">
        <f t="shared" ref="C141:U141" si="5">C148/(C152+C148)</f>
        <v>0.52912753961963366</v>
      </c>
      <c r="D141" s="734">
        <f t="shared" si="5"/>
        <v>0.54915303688194006</v>
      </c>
      <c r="E141" s="734">
        <f t="shared" si="5"/>
        <v>0.58777373805698829</v>
      </c>
      <c r="F141" s="734">
        <f t="shared" si="5"/>
        <v>0.58175580929487181</v>
      </c>
      <c r="G141" s="734">
        <f t="shared" si="5"/>
        <v>0.56997875295262734</v>
      </c>
      <c r="H141" s="734">
        <f t="shared" si="5"/>
        <v>0.56496356570748418</v>
      </c>
      <c r="I141" s="734">
        <f t="shared" si="5"/>
        <v>0.5752721164336011</v>
      </c>
      <c r="J141" s="734">
        <f t="shared" si="5"/>
        <v>0.54864548645486455</v>
      </c>
      <c r="K141" s="734">
        <f t="shared" si="5"/>
        <v>0.53149396812658645</v>
      </c>
      <c r="L141" s="734">
        <f t="shared" si="5"/>
        <v>0.52844381758345094</v>
      </c>
      <c r="M141" s="734">
        <f t="shared" si="5"/>
        <v>0.51863085997281133</v>
      </c>
      <c r="N141" s="734">
        <f t="shared" si="5"/>
        <v>0.51180785951623309</v>
      </c>
      <c r="O141" s="734">
        <f t="shared" si="5"/>
        <v>0.5141932687856432</v>
      </c>
      <c r="P141" s="734">
        <f t="shared" si="5"/>
        <v>0.52161285707472937</v>
      </c>
      <c r="Q141" s="734">
        <f t="shared" si="5"/>
        <v>0.54000486527757374</v>
      </c>
      <c r="R141" s="734">
        <f t="shared" si="5"/>
        <v>0.54508826830003798</v>
      </c>
      <c r="S141" s="734">
        <f t="shared" si="5"/>
        <v>0.54911575655799405</v>
      </c>
      <c r="T141" s="734">
        <f t="shared" si="5"/>
        <v>0.5439704565613086</v>
      </c>
      <c r="U141" s="734">
        <f t="shared" si="5"/>
        <v>0.54356268312245259</v>
      </c>
    </row>
    <row r="142" spans="1:21" x14ac:dyDescent="0.3">
      <c r="A142" t="s">
        <v>847</v>
      </c>
      <c r="B142" s="734">
        <f>B156/(B160+B156)</f>
        <v>0.40517748578152579</v>
      </c>
      <c r="C142" s="734">
        <f t="shared" ref="C142:U142" si="6">C156/(C160+C156)</f>
        <v>0.40936282777784516</v>
      </c>
      <c r="D142" s="734">
        <f t="shared" si="6"/>
        <v>0.41768611195362787</v>
      </c>
      <c r="E142" s="734">
        <f t="shared" si="6"/>
        <v>0.40952899362812589</v>
      </c>
      <c r="F142" s="734">
        <f t="shared" si="6"/>
        <v>0.41030610499914494</v>
      </c>
      <c r="G142" s="734">
        <f t="shared" si="6"/>
        <v>0.40510377855963486</v>
      </c>
      <c r="H142" s="734">
        <f t="shared" si="6"/>
        <v>0.4217891246277134</v>
      </c>
      <c r="I142" s="734">
        <f t="shared" si="6"/>
        <v>0.40817812497873468</v>
      </c>
      <c r="J142" s="734">
        <f t="shared" si="6"/>
        <v>0.41212354876221152</v>
      </c>
      <c r="K142" s="734">
        <f t="shared" si="6"/>
        <v>0.41110027151235906</v>
      </c>
      <c r="L142" s="734">
        <f t="shared" si="6"/>
        <v>0.40365291574818929</v>
      </c>
      <c r="M142" s="734">
        <f t="shared" si="6"/>
        <v>0.41085809497361836</v>
      </c>
      <c r="N142" s="734">
        <f t="shared" si="6"/>
        <v>0.40901794241358991</v>
      </c>
      <c r="O142" s="734">
        <f t="shared" si="6"/>
        <v>0.4037710490177937</v>
      </c>
      <c r="P142" s="734">
        <f t="shared" si="6"/>
        <v>0.36277427219274344</v>
      </c>
      <c r="Q142" s="734">
        <f t="shared" si="6"/>
        <v>0.39886695777723002</v>
      </c>
      <c r="R142" s="734">
        <f t="shared" si="6"/>
        <v>0.39272002679744733</v>
      </c>
      <c r="S142" s="734">
        <f t="shared" si="6"/>
        <v>0.37900173718823676</v>
      </c>
      <c r="T142" s="734">
        <f t="shared" si="6"/>
        <v>0.41199067431850789</v>
      </c>
      <c r="U142" s="734">
        <f t="shared" si="6"/>
        <v>0.41179417877217184</v>
      </c>
    </row>
    <row r="143" spans="1:21" x14ac:dyDescent="0.3">
      <c r="A143" t="s">
        <v>848</v>
      </c>
      <c r="B143" s="734">
        <f>B157/(B161+B157)</f>
        <v>0.55575691099559665</v>
      </c>
      <c r="C143" s="734">
        <f t="shared" ref="C143:U143" si="7">C157/(C161+C157)</f>
        <v>0.55249116787578334</v>
      </c>
      <c r="D143" s="734">
        <f t="shared" si="7"/>
        <v>0.56213759382962603</v>
      </c>
      <c r="E143" s="734">
        <f t="shared" si="7"/>
        <v>0.56480225331731204</v>
      </c>
      <c r="F143" s="734">
        <f t="shared" si="7"/>
        <v>0.56784396540473847</v>
      </c>
      <c r="G143" s="734">
        <f t="shared" si="7"/>
        <v>0.55845332910374212</v>
      </c>
      <c r="H143" s="734">
        <f t="shared" si="7"/>
        <v>0.5553896592048112</v>
      </c>
      <c r="I143" s="734">
        <f t="shared" si="7"/>
        <v>0.54475656336121459</v>
      </c>
      <c r="J143" s="734">
        <f t="shared" si="7"/>
        <v>0.53046705269145056</v>
      </c>
      <c r="K143" s="734">
        <f t="shared" si="7"/>
        <v>0.51894123154176774</v>
      </c>
      <c r="L143" s="734">
        <f t="shared" si="7"/>
        <v>0.5050690461015509</v>
      </c>
      <c r="M143" s="734">
        <f t="shared" si="7"/>
        <v>0.4909486364396855</v>
      </c>
      <c r="N143" s="734">
        <f t="shared" si="7"/>
        <v>0.49351035862502274</v>
      </c>
      <c r="O143" s="734">
        <f t="shared" si="7"/>
        <v>0.50406504065040647</v>
      </c>
      <c r="P143" s="734">
        <f t="shared" si="7"/>
        <v>0.49192083014221133</v>
      </c>
      <c r="Q143" s="734">
        <f t="shared" si="7"/>
        <v>0.49387149428698623</v>
      </c>
      <c r="R143" s="734">
        <f t="shared" si="7"/>
        <v>0.48332066013292779</v>
      </c>
      <c r="S143" s="734">
        <f t="shared" si="7"/>
        <v>0.49956124337861813</v>
      </c>
      <c r="T143" s="734">
        <f t="shared" si="7"/>
        <v>0.49190092819466741</v>
      </c>
      <c r="U143" s="734">
        <f t="shared" si="7"/>
        <v>0.49523220657223738</v>
      </c>
    </row>
    <row r="145" spans="1:23" s="465" customFormat="1" ht="18" x14ac:dyDescent="0.35">
      <c r="A145" s="201"/>
    </row>
    <row r="146" spans="1:23" s="106" customFormat="1" x14ac:dyDescent="0.3">
      <c r="A146" s="104" t="s">
        <v>843</v>
      </c>
      <c r="B146" s="105" t="s">
        <v>1</v>
      </c>
      <c r="C146" s="105" t="s">
        <v>2</v>
      </c>
      <c r="D146" s="105" t="s">
        <v>3</v>
      </c>
      <c r="E146" s="105" t="s">
        <v>4</v>
      </c>
      <c r="F146" s="105" t="s">
        <v>5</v>
      </c>
      <c r="G146" s="105" t="s">
        <v>6</v>
      </c>
      <c r="H146" s="105" t="s">
        <v>7</v>
      </c>
      <c r="I146" s="105" t="s">
        <v>8</v>
      </c>
      <c r="J146" s="105" t="s">
        <v>9</v>
      </c>
      <c r="K146" s="105" t="s">
        <v>10</v>
      </c>
      <c r="L146" s="105" t="s">
        <v>11</v>
      </c>
      <c r="M146" s="105" t="s">
        <v>12</v>
      </c>
      <c r="N146" s="105" t="s">
        <v>13</v>
      </c>
      <c r="O146" s="105" t="s">
        <v>14</v>
      </c>
      <c r="P146" s="105" t="s">
        <v>15</v>
      </c>
      <c r="Q146" s="105" t="s">
        <v>16</v>
      </c>
      <c r="R146" s="105" t="s">
        <v>17</v>
      </c>
      <c r="S146" s="105" t="s">
        <v>18</v>
      </c>
      <c r="T146" s="105">
        <v>2017</v>
      </c>
      <c r="U146" s="105">
        <v>2018</v>
      </c>
    </row>
    <row r="147" spans="1:23" s="465" customFormat="1" x14ac:dyDescent="0.3">
      <c r="A147" s="31" t="s">
        <v>43</v>
      </c>
      <c r="B147" s="580">
        <f>'2. Trade in Goods'!C177/1000</f>
        <v>102.352</v>
      </c>
      <c r="C147" s="580">
        <f>'2. Trade in Goods'!D177/1000</f>
        <v>112.834</v>
      </c>
      <c r="D147" s="580">
        <f>'2. Trade in Goods'!E177/1000</f>
        <v>113.941</v>
      </c>
      <c r="E147" s="580">
        <f>'2. Trade in Goods'!F177/1000</f>
        <v>114.76600000000001</v>
      </c>
      <c r="F147" s="580">
        <f>'2. Trade in Goods'!G177/1000</f>
        <v>111.623</v>
      </c>
      <c r="G147" s="580">
        <f>'2. Trade in Goods'!H177/1000</f>
        <v>112.324</v>
      </c>
      <c r="H147" s="580">
        <f>'2. Trade in Goods'!I177/1000</f>
        <v>121.92</v>
      </c>
      <c r="I147" s="580">
        <f>'2. Trade in Goods'!J177/1000</f>
        <v>153.387</v>
      </c>
      <c r="J147" s="580">
        <f>'2. Trade in Goods'!K177/1000</f>
        <v>128.17599999999999</v>
      </c>
      <c r="K147" s="580">
        <f>'2. Trade in Goods'!L177/1000</f>
        <v>142.404</v>
      </c>
      <c r="L147" s="580">
        <f>'2. Trade in Goods'!M177/1000</f>
        <v>125.664</v>
      </c>
      <c r="M147" s="580">
        <f>'2. Trade in Goods'!N177/1000</f>
        <v>144.50800000000001</v>
      </c>
      <c r="N147" s="580">
        <f>'2. Trade in Goods'!O177/1000</f>
        <v>162.88300000000001</v>
      </c>
      <c r="O147" s="580">
        <f>'2. Trade in Goods'!P177/1000</f>
        <v>152.501</v>
      </c>
      <c r="P147" s="580">
        <f>'2. Trade in Goods'!Q177/1000</f>
        <v>151.22300000000001</v>
      </c>
      <c r="Q147" s="580">
        <f>'2. Trade in Goods'!R177/1000</f>
        <v>146.87200000000001</v>
      </c>
      <c r="R147" s="580">
        <f>'2. Trade in Goods'!S177/1000</f>
        <v>133.66399999999999</v>
      </c>
      <c r="S147" s="580">
        <f>'2. Trade in Goods'!T177/1000</f>
        <v>142.70500000000001</v>
      </c>
      <c r="T147" s="580">
        <f>'2. Trade in Goods'!U177/1000</f>
        <v>164.08099999999999</v>
      </c>
      <c r="U147" s="580">
        <f>'2. Trade in Goods'!V177/1000</f>
        <v>172.21100000000001</v>
      </c>
      <c r="V147" s="92" t="s">
        <v>265</v>
      </c>
      <c r="W147" s="465" t="s">
        <v>522</v>
      </c>
    </row>
    <row r="148" spans="1:23" s="465" customFormat="1" x14ac:dyDescent="0.3">
      <c r="A148" s="31" t="s">
        <v>44</v>
      </c>
      <c r="B148" s="580">
        <f>'2. Trade in Goods'!C178/1000</f>
        <v>110.224</v>
      </c>
      <c r="C148" s="580">
        <f>'2. Trade in Goods'!D178/1000</f>
        <v>118.16</v>
      </c>
      <c r="D148" s="580">
        <f>'2. Trade in Goods'!E178/1000</f>
        <v>127.99</v>
      </c>
      <c r="E148" s="580">
        <f>'2. Trade in Goods'!F178/1000</f>
        <v>139.03200000000001</v>
      </c>
      <c r="F148" s="580">
        <f>'2. Trade in Goods'!G178/1000</f>
        <v>139.398</v>
      </c>
      <c r="G148" s="580">
        <f>'2. Trade in Goods'!H178/1000</f>
        <v>144.05699999999999</v>
      </c>
      <c r="H148" s="580">
        <f>'2. Trade in Goods'!I178/1000</f>
        <v>159.483</v>
      </c>
      <c r="I148" s="580">
        <f>'2. Trade in Goods'!J178/1000</f>
        <v>185.61500000000001</v>
      </c>
      <c r="J148" s="580">
        <f>'2. Trade in Goods'!K178/1000</f>
        <v>170.68799999999999</v>
      </c>
      <c r="K148" s="580">
        <f>'2. Trade in Goods'!L178/1000</f>
        <v>182.79300000000001</v>
      </c>
      <c r="L148" s="580">
        <f>'2. Trade in Goods'!M178/1000</f>
        <v>165.22800000000001</v>
      </c>
      <c r="M148" s="580">
        <f>'2. Trade in Goods'!N178/1000</f>
        <v>188.08199999999999</v>
      </c>
      <c r="N148" s="580">
        <f>'2. Trade in Goods'!O178/1000</f>
        <v>203.785</v>
      </c>
      <c r="O148" s="580">
        <f>'2. Trade in Goods'!P178/1000</f>
        <v>208.81800000000001</v>
      </c>
      <c r="P148" s="580">
        <f>'2. Trade in Goods'!Q178/1000</f>
        <v>218.75399999999999</v>
      </c>
      <c r="Q148" s="580">
        <f>'2. Trade in Goods'!R178/1000</f>
        <v>224.203</v>
      </c>
      <c r="R148" s="580">
        <f>'2. Trade in Goods'!S178/1000</f>
        <v>220.52199999999999</v>
      </c>
      <c r="S148" s="580">
        <f>'2. Trade in Goods'!T178/1000</f>
        <v>237.06700000000001</v>
      </c>
      <c r="T148" s="580">
        <f>'2. Trade in Goods'!U178/1000</f>
        <v>258.80700000000002</v>
      </c>
      <c r="U148" s="580">
        <f>'2. Trade in Goods'!V178/1000</f>
        <v>265.66300000000001</v>
      </c>
      <c r="V148" s="92" t="s">
        <v>265</v>
      </c>
      <c r="W148" s="376" t="s">
        <v>522</v>
      </c>
    </row>
    <row r="149" spans="1:23" s="465" customFormat="1" ht="15" thickBot="1" x14ac:dyDescent="0.35">
      <c r="A149" s="732" t="s">
        <v>34</v>
      </c>
      <c r="B149" s="733">
        <f>B147-B148</f>
        <v>-7.8719999999999999</v>
      </c>
      <c r="C149" s="733">
        <f t="shared" ref="C149:U149" si="8">C147-C148</f>
        <v>-5.3259999999999934</v>
      </c>
      <c r="D149" s="733">
        <f t="shared" si="8"/>
        <v>-14.048999999999992</v>
      </c>
      <c r="E149" s="733">
        <f t="shared" si="8"/>
        <v>-24.266000000000005</v>
      </c>
      <c r="F149" s="733">
        <f t="shared" si="8"/>
        <v>-27.774999999999991</v>
      </c>
      <c r="G149" s="733">
        <f t="shared" si="8"/>
        <v>-31.73299999999999</v>
      </c>
      <c r="H149" s="733">
        <f t="shared" si="8"/>
        <v>-37.563000000000002</v>
      </c>
      <c r="I149" s="733">
        <f t="shared" si="8"/>
        <v>-32.228000000000009</v>
      </c>
      <c r="J149" s="733">
        <f t="shared" si="8"/>
        <v>-42.512</v>
      </c>
      <c r="K149" s="733">
        <f t="shared" si="8"/>
        <v>-40.38900000000001</v>
      </c>
      <c r="L149" s="733">
        <f t="shared" si="8"/>
        <v>-39.564000000000007</v>
      </c>
      <c r="M149" s="733">
        <f t="shared" si="8"/>
        <v>-43.573999999999984</v>
      </c>
      <c r="N149" s="733">
        <f t="shared" si="8"/>
        <v>-40.901999999999987</v>
      </c>
      <c r="O149" s="733">
        <f t="shared" si="8"/>
        <v>-56.317000000000007</v>
      </c>
      <c r="P149" s="733">
        <f t="shared" si="8"/>
        <v>-67.530999999999977</v>
      </c>
      <c r="Q149" s="733">
        <f t="shared" si="8"/>
        <v>-77.330999999999989</v>
      </c>
      <c r="R149" s="733">
        <f t="shared" si="8"/>
        <v>-86.858000000000004</v>
      </c>
      <c r="S149" s="733">
        <f t="shared" si="8"/>
        <v>-94.361999999999995</v>
      </c>
      <c r="T149" s="733">
        <f t="shared" si="8"/>
        <v>-94.726000000000028</v>
      </c>
      <c r="U149" s="733">
        <f t="shared" si="8"/>
        <v>-93.451999999999998</v>
      </c>
      <c r="V149" s="92"/>
      <c r="W149" s="376"/>
    </row>
    <row r="150" spans="1:23" s="465" customFormat="1" ht="15" thickTop="1" x14ac:dyDescent="0.3">
      <c r="A150" s="31"/>
      <c r="B150" s="580"/>
      <c r="C150" s="580"/>
      <c r="D150" s="580"/>
      <c r="E150" s="580"/>
      <c r="F150" s="580"/>
      <c r="G150" s="580"/>
      <c r="H150" s="580"/>
      <c r="I150" s="580"/>
      <c r="J150" s="580"/>
      <c r="K150" s="580"/>
      <c r="L150" s="580"/>
      <c r="M150" s="580"/>
      <c r="N150" s="580"/>
      <c r="O150" s="580"/>
      <c r="P150" s="580"/>
      <c r="Q150" s="580"/>
      <c r="R150" s="580"/>
      <c r="S150" s="580"/>
      <c r="T150" s="580"/>
      <c r="U150" s="580"/>
      <c r="V150" s="92"/>
      <c r="W150" s="376"/>
    </row>
    <row r="151" spans="1:23" s="465" customFormat="1" x14ac:dyDescent="0.3">
      <c r="A151" s="31" t="s">
        <v>45</v>
      </c>
      <c r="B151" s="580">
        <f>'2. Trade in Goods'!C184/1000</f>
        <v>65.432000000000002</v>
      </c>
      <c r="C151" s="580">
        <f>'2. Trade in Goods'!D184/1000</f>
        <v>76.126000000000005</v>
      </c>
      <c r="D151" s="580">
        <f>'2. Trade in Goods'!E184/1000</f>
        <v>75.591999999999999</v>
      </c>
      <c r="E151" s="580">
        <f>'2. Trade in Goods'!F184/1000</f>
        <v>72.191999999999993</v>
      </c>
      <c r="F151" s="580">
        <f>'2. Trade in Goods'!G184/1000</f>
        <v>77.070999999999998</v>
      </c>
      <c r="G151" s="580">
        <f>'2. Trade in Goods'!H184/1000</f>
        <v>79.388999999999996</v>
      </c>
      <c r="H151" s="580">
        <f>'2. Trade in Goods'!I184/1000</f>
        <v>90.837000000000003</v>
      </c>
      <c r="I151" s="580">
        <f>'2. Trade in Goods'!J184/1000</f>
        <v>91.372</v>
      </c>
      <c r="J151" s="580">
        <f>'2. Trade in Goods'!K184/1000</f>
        <v>94.347999999999999</v>
      </c>
      <c r="K151" s="580">
        <f>'2. Trade in Goods'!L184/1000</f>
        <v>109.855</v>
      </c>
      <c r="L151" s="580">
        <f>'2. Trade in Goods'!M184/1000</f>
        <v>101.7</v>
      </c>
      <c r="M151" s="580">
        <f>'2. Trade in Goods'!N184/1000</f>
        <v>122.529</v>
      </c>
      <c r="N151" s="580">
        <f>'2. Trade in Goods'!O184/1000</f>
        <v>140.92099999999999</v>
      </c>
      <c r="O151" s="580">
        <f>'2. Trade in Goods'!P184/1000</f>
        <v>146.887</v>
      </c>
      <c r="P151" s="580">
        <f>'2. Trade in Goods'!Q184/1000</f>
        <v>149.167</v>
      </c>
      <c r="Q151" s="580">
        <f>'2. Trade in Goods'!R184/1000</f>
        <v>146.244</v>
      </c>
      <c r="R151" s="580">
        <f>'2. Trade in Goods'!S184/1000</f>
        <v>153.08799999999999</v>
      </c>
      <c r="S151" s="580">
        <f>'2. Trade in Goods'!T184/1000</f>
        <v>156.36799999999999</v>
      </c>
      <c r="T151" s="580">
        <f>'2. Trade in Goods'!U184/1000</f>
        <v>174.65799999999999</v>
      </c>
      <c r="U151" s="580">
        <f>'2. Trade in Goods'!V184/1000</f>
        <v>178.44</v>
      </c>
      <c r="V151" s="92" t="s">
        <v>265</v>
      </c>
      <c r="W151" s="377">
        <v>43188</v>
      </c>
    </row>
    <row r="152" spans="1:23" s="465" customFormat="1" x14ac:dyDescent="0.3">
      <c r="A152" s="31" t="s">
        <v>97</v>
      </c>
      <c r="B152" s="580">
        <f>'2. Trade in Goods'!C185/1000</f>
        <v>85.968000000000004</v>
      </c>
      <c r="C152" s="580">
        <f>'2. Trade in Goods'!D185/1000</f>
        <v>105.151</v>
      </c>
      <c r="D152" s="580">
        <f>'2. Trade in Goods'!E185/1000</f>
        <v>105.078</v>
      </c>
      <c r="E152" s="580">
        <f>'2. Trade in Goods'!F185/1000</f>
        <v>97.507999999999996</v>
      </c>
      <c r="F152" s="580">
        <f>'2. Trade in Goods'!G185/1000</f>
        <v>100.218</v>
      </c>
      <c r="G152" s="580">
        <f>'2. Trade in Goods'!H185/1000</f>
        <v>108.684</v>
      </c>
      <c r="H152" s="580">
        <f>'2. Trade in Goods'!I185/1000</f>
        <v>122.806</v>
      </c>
      <c r="I152" s="580">
        <f>'2. Trade in Goods'!J185/1000</f>
        <v>137.041</v>
      </c>
      <c r="J152" s="580">
        <f>'2. Trade in Goods'!K185/1000</f>
        <v>140.41999999999999</v>
      </c>
      <c r="K152" s="580">
        <f>'2. Trade in Goods'!L185/1000</f>
        <v>161.13</v>
      </c>
      <c r="L152" s="580">
        <f>'2. Trade in Goods'!M185/1000</f>
        <v>147.441</v>
      </c>
      <c r="M152" s="580">
        <f>'2. Trade in Goods'!N185/1000</f>
        <v>174.56899999999999</v>
      </c>
      <c r="N152" s="580">
        <f>'2. Trade in Goods'!O185/1000</f>
        <v>194.38200000000001</v>
      </c>
      <c r="O152" s="580">
        <f>'2. Trade in Goods'!P185/1000</f>
        <v>197.29</v>
      </c>
      <c r="P152" s="580">
        <f>'2. Trade in Goods'!Q185/1000</f>
        <v>200.626</v>
      </c>
      <c r="Q152" s="580">
        <f>'2. Trade in Goods'!R185/1000</f>
        <v>190.98400000000001</v>
      </c>
      <c r="R152" s="580">
        <f>'2. Trade in Goods'!S185/1000</f>
        <v>184.04</v>
      </c>
      <c r="S152" s="580">
        <f>'2. Trade in Goods'!T185/1000</f>
        <v>194.65799999999999</v>
      </c>
      <c r="T152" s="580">
        <f>'2. Trade in Goods'!U185/1000</f>
        <v>216.96700000000001</v>
      </c>
      <c r="U152" s="580">
        <f>'2. Trade in Goods'!V185/1000</f>
        <v>223.08099999999999</v>
      </c>
      <c r="V152" s="92" t="s">
        <v>265</v>
      </c>
      <c r="W152" s="465" t="s">
        <v>522</v>
      </c>
    </row>
    <row r="153" spans="1:23" s="298" customFormat="1" ht="15" thickBot="1" x14ac:dyDescent="0.35">
      <c r="A153" s="732" t="s">
        <v>34</v>
      </c>
      <c r="B153" s="733">
        <f>B151-B152</f>
        <v>-20.536000000000001</v>
      </c>
      <c r="C153" s="733">
        <f t="shared" ref="C153:U153" si="9">C151-C152</f>
        <v>-29.024999999999991</v>
      </c>
      <c r="D153" s="733">
        <f t="shared" si="9"/>
        <v>-29.486000000000004</v>
      </c>
      <c r="E153" s="733">
        <f t="shared" si="9"/>
        <v>-25.316000000000003</v>
      </c>
      <c r="F153" s="733">
        <f t="shared" si="9"/>
        <v>-23.147000000000006</v>
      </c>
      <c r="G153" s="733">
        <f t="shared" si="9"/>
        <v>-29.295000000000002</v>
      </c>
      <c r="H153" s="733">
        <f t="shared" si="9"/>
        <v>-31.968999999999994</v>
      </c>
      <c r="I153" s="733">
        <f t="shared" si="9"/>
        <v>-45.668999999999997</v>
      </c>
      <c r="J153" s="733">
        <f t="shared" si="9"/>
        <v>-46.071999999999989</v>
      </c>
      <c r="K153" s="733">
        <f t="shared" si="9"/>
        <v>-51.274999999999991</v>
      </c>
      <c r="L153" s="733">
        <f t="shared" si="9"/>
        <v>-45.741</v>
      </c>
      <c r="M153" s="733">
        <f t="shared" si="9"/>
        <v>-52.039999999999992</v>
      </c>
      <c r="N153" s="733">
        <f t="shared" si="9"/>
        <v>-53.461000000000013</v>
      </c>
      <c r="O153" s="733">
        <f t="shared" si="9"/>
        <v>-50.402999999999992</v>
      </c>
      <c r="P153" s="733">
        <f t="shared" si="9"/>
        <v>-51.459000000000003</v>
      </c>
      <c r="Q153" s="733">
        <f t="shared" si="9"/>
        <v>-44.740000000000009</v>
      </c>
      <c r="R153" s="733">
        <f t="shared" si="9"/>
        <v>-30.951999999999998</v>
      </c>
      <c r="S153" s="733">
        <f t="shared" si="9"/>
        <v>-38.289999999999992</v>
      </c>
      <c r="T153" s="733">
        <f t="shared" si="9"/>
        <v>-42.309000000000026</v>
      </c>
      <c r="U153" s="733">
        <f t="shared" si="9"/>
        <v>-44.640999999999991</v>
      </c>
    </row>
    <row r="154" spans="1:23" ht="15" thickTop="1" x14ac:dyDescent="0.3"/>
    <row r="155" spans="1:23" s="106" customFormat="1" x14ac:dyDescent="0.3">
      <c r="A155" s="104" t="s">
        <v>669</v>
      </c>
      <c r="B155" s="105">
        <v>1999</v>
      </c>
      <c r="C155" s="105">
        <v>2000</v>
      </c>
      <c r="D155" s="105">
        <v>2001</v>
      </c>
      <c r="E155" s="105">
        <v>2002</v>
      </c>
      <c r="F155" s="105">
        <v>2003</v>
      </c>
      <c r="G155" s="105">
        <v>2004</v>
      </c>
      <c r="H155" s="105">
        <v>2005</v>
      </c>
      <c r="I155" s="105">
        <v>2006</v>
      </c>
      <c r="J155" s="105">
        <v>2007</v>
      </c>
      <c r="K155" s="105">
        <v>2008</v>
      </c>
      <c r="L155" s="105">
        <v>2009</v>
      </c>
      <c r="M155" s="105">
        <v>2010</v>
      </c>
      <c r="N155" s="105">
        <v>2011</v>
      </c>
      <c r="O155" s="105">
        <v>2012</v>
      </c>
      <c r="P155" s="105">
        <v>2013</v>
      </c>
      <c r="Q155" s="105">
        <v>2014</v>
      </c>
      <c r="R155" s="105">
        <v>2015</v>
      </c>
      <c r="S155" s="105">
        <v>2016</v>
      </c>
      <c r="T155" s="105">
        <v>2017</v>
      </c>
      <c r="U155" s="105">
        <v>2018</v>
      </c>
    </row>
    <row r="156" spans="1:23" s="465" customFormat="1" x14ac:dyDescent="0.3">
      <c r="A156" s="6" t="s">
        <v>43</v>
      </c>
      <c r="B156" s="580">
        <f>'3. Trade in Services'!B173</f>
        <v>30.99</v>
      </c>
      <c r="C156" s="580">
        <f>'3. Trade in Services'!C173</f>
        <v>33.735999999999997</v>
      </c>
      <c r="D156" s="580">
        <f>'3. Trade in Services'!D173</f>
        <v>37.182000000000002</v>
      </c>
      <c r="E156" s="580">
        <f>'3. Trade in Services'!E173</f>
        <v>38.369999999999997</v>
      </c>
      <c r="F156" s="580">
        <f>'3. Trade in Services'!F173</f>
        <v>43.188000000000002</v>
      </c>
      <c r="G156" s="580">
        <f>'3. Trade in Services'!G173</f>
        <v>46.862000000000002</v>
      </c>
      <c r="H156" s="580">
        <f>'3. Trade in Services'!H173</f>
        <v>54.948999999999998</v>
      </c>
      <c r="I156" s="580">
        <f>'3. Trade in Services'!I173</f>
        <v>59.982999999999997</v>
      </c>
      <c r="J156" s="580">
        <f>'3. Trade in Services'!J173</f>
        <v>66.274000000000001</v>
      </c>
      <c r="K156" s="580">
        <f>'3. Trade in Services'!K173</f>
        <v>69.951999999999998</v>
      </c>
      <c r="L156" s="580">
        <f>'3. Trade in Services'!L173</f>
        <v>70.5</v>
      </c>
      <c r="M156" s="580">
        <f>'3. Trade in Services'!M173</f>
        <v>73.974999999999994</v>
      </c>
      <c r="N156" s="580">
        <f>'3. Trade in Services'!N173</f>
        <v>80.516000000000005</v>
      </c>
      <c r="O156" s="580">
        <f>'3. Trade in Services'!O173</f>
        <v>82.915999999999997</v>
      </c>
      <c r="P156" s="580">
        <f>'3. Trade in Services'!P173</f>
        <v>80.947999999999993</v>
      </c>
      <c r="Q156" s="580">
        <f>'3. Trade in Services'!Q173</f>
        <v>90.613</v>
      </c>
      <c r="R156" s="580">
        <f>'3. Trade in Services'!R173</f>
        <v>91.447999999999993</v>
      </c>
      <c r="S156" s="580">
        <f>'3. Trade in Services'!S173</f>
        <v>97.74</v>
      </c>
      <c r="T156" s="580">
        <f>'3. Trade in Services'!T173</f>
        <v>114.863</v>
      </c>
      <c r="U156" s="580">
        <f>'3. Trade in Services'!U173</f>
        <v>116.70699999999999</v>
      </c>
    </row>
    <row r="157" spans="1:23" s="465" customFormat="1" x14ac:dyDescent="0.3">
      <c r="A157" s="6" t="s">
        <v>668</v>
      </c>
      <c r="B157" s="580">
        <f>'3. Trade in Services'!B174</f>
        <v>34.960999999999999</v>
      </c>
      <c r="C157" s="580">
        <f>'3. Trade in Services'!C174</f>
        <v>38.002000000000002</v>
      </c>
      <c r="D157" s="580">
        <f>'3. Trade in Services'!D174</f>
        <v>40.814</v>
      </c>
      <c r="E157" s="580">
        <f>'3. Trade in Services'!E174</f>
        <v>43.713999999999999</v>
      </c>
      <c r="F157" s="580">
        <f>'3. Trade in Services'!F174</f>
        <v>47.863</v>
      </c>
      <c r="G157" s="580">
        <f>'3. Trade in Services'!G174</f>
        <v>49.292999999999999</v>
      </c>
      <c r="H157" s="580">
        <f>'3. Trade in Services'!H174</f>
        <v>53.192999999999998</v>
      </c>
      <c r="I157" s="580">
        <f>'3. Trade in Services'!I174</f>
        <v>56.335999999999999</v>
      </c>
      <c r="J157" s="580">
        <f>'3. Trade in Services'!J174</f>
        <v>56.890999999999998</v>
      </c>
      <c r="K157" s="580">
        <f>'3. Trade in Services'!K174</f>
        <v>60.972999999999999</v>
      </c>
      <c r="L157" s="580">
        <f>'3. Trade in Services'!L174</f>
        <v>59.433999999999997</v>
      </c>
      <c r="M157" s="580">
        <f>'3. Trade in Services'!M174</f>
        <v>58.688000000000002</v>
      </c>
      <c r="N157" s="580">
        <f>'3. Trade in Services'!N174</f>
        <v>59.695999999999998</v>
      </c>
      <c r="O157" s="580">
        <f>'3. Trade in Services'!O174</f>
        <v>62.62</v>
      </c>
      <c r="P157" s="580">
        <f>'3. Trade in Services'!P174</f>
        <v>65.515000000000001</v>
      </c>
      <c r="Q157" s="580">
        <f>'3. Trade in Services'!Q174</f>
        <v>66.563999999999993</v>
      </c>
      <c r="R157" s="580">
        <f>'3. Trade in Services'!R174</f>
        <v>68.647000000000006</v>
      </c>
      <c r="S157" s="580">
        <f>'3. Trade in Services'!S174</f>
        <v>77.992999999999995</v>
      </c>
      <c r="T157" s="580">
        <f>'3. Trade in Services'!T174</f>
        <v>81.507000000000005</v>
      </c>
      <c r="U157" s="580">
        <f>'3. Trade in Services'!U174</f>
        <v>87.302999999999997</v>
      </c>
    </row>
    <row r="158" spans="1:23" s="298" customFormat="1" ht="15" thickBot="1" x14ac:dyDescent="0.35">
      <c r="A158" s="732" t="s">
        <v>34</v>
      </c>
      <c r="B158" s="733">
        <f>B156-B157</f>
        <v>-3.9710000000000001</v>
      </c>
      <c r="C158" s="733">
        <f t="shared" ref="C158:U158" si="10">C156-C157</f>
        <v>-4.2660000000000053</v>
      </c>
      <c r="D158" s="733">
        <f t="shared" si="10"/>
        <v>-3.6319999999999979</v>
      </c>
      <c r="E158" s="733">
        <f t="shared" si="10"/>
        <v>-5.3440000000000012</v>
      </c>
      <c r="F158" s="733">
        <f t="shared" si="10"/>
        <v>-4.6749999999999972</v>
      </c>
      <c r="G158" s="733">
        <f t="shared" si="10"/>
        <v>-2.4309999999999974</v>
      </c>
      <c r="H158" s="733">
        <f t="shared" si="10"/>
        <v>1.7560000000000002</v>
      </c>
      <c r="I158" s="733">
        <f t="shared" si="10"/>
        <v>3.6469999999999985</v>
      </c>
      <c r="J158" s="733">
        <f t="shared" si="10"/>
        <v>9.3830000000000027</v>
      </c>
      <c r="K158" s="733">
        <f t="shared" si="10"/>
        <v>8.9789999999999992</v>
      </c>
      <c r="L158" s="733">
        <f t="shared" si="10"/>
        <v>11.066000000000003</v>
      </c>
      <c r="M158" s="733">
        <f t="shared" si="10"/>
        <v>15.286999999999992</v>
      </c>
      <c r="N158" s="733">
        <f t="shared" si="10"/>
        <v>20.820000000000007</v>
      </c>
      <c r="O158" s="733">
        <f t="shared" si="10"/>
        <v>20.295999999999999</v>
      </c>
      <c r="P158" s="733">
        <f t="shared" si="10"/>
        <v>15.432999999999993</v>
      </c>
      <c r="Q158" s="733">
        <f t="shared" si="10"/>
        <v>24.049000000000007</v>
      </c>
      <c r="R158" s="733">
        <f t="shared" si="10"/>
        <v>22.800999999999988</v>
      </c>
      <c r="S158" s="733">
        <f t="shared" si="10"/>
        <v>19.747</v>
      </c>
      <c r="T158" s="733">
        <f t="shared" si="10"/>
        <v>33.355999999999995</v>
      </c>
      <c r="U158" s="733">
        <f t="shared" si="10"/>
        <v>29.403999999999996</v>
      </c>
    </row>
    <row r="159" spans="1:23" s="465" customFormat="1" ht="15" thickTop="1" x14ac:dyDescent="0.3">
      <c r="A159" s="6"/>
      <c r="B159" s="580"/>
      <c r="C159" s="580"/>
      <c r="D159" s="580"/>
      <c r="E159" s="580"/>
      <c r="F159" s="580"/>
      <c r="G159" s="580"/>
      <c r="H159" s="580"/>
      <c r="I159" s="580"/>
      <c r="J159" s="580"/>
      <c r="K159" s="580"/>
      <c r="L159" s="580"/>
      <c r="M159" s="580"/>
      <c r="N159" s="580"/>
      <c r="O159" s="580"/>
      <c r="P159" s="580"/>
      <c r="Q159" s="580"/>
      <c r="R159" s="580"/>
      <c r="S159" s="580"/>
      <c r="T159" s="580"/>
      <c r="U159" s="580"/>
    </row>
    <row r="160" spans="1:23" s="465" customFormat="1" x14ac:dyDescent="0.3">
      <c r="A160" s="6" t="s">
        <v>45</v>
      </c>
      <c r="B160" s="580">
        <f>'3. Trade in Services'!B178</f>
        <v>45.494999999999997</v>
      </c>
      <c r="C160" s="580">
        <f>'3. Trade in Services'!C178</f>
        <v>48.674999999999997</v>
      </c>
      <c r="D160" s="580">
        <f>'3. Trade in Services'!D178</f>
        <v>51.837000000000003</v>
      </c>
      <c r="E160" s="580">
        <f>'3. Trade in Services'!E178</f>
        <v>55.323</v>
      </c>
      <c r="F160" s="580">
        <f>'3. Trade in Services'!F178</f>
        <v>62.07</v>
      </c>
      <c r="G160" s="580">
        <f>'3. Trade in Services'!G178</f>
        <v>68.816999999999993</v>
      </c>
      <c r="H160" s="580">
        <f>'3. Trade in Services'!H178</f>
        <v>75.326999999999998</v>
      </c>
      <c r="I160" s="580">
        <f>'3. Trade in Services'!I178</f>
        <v>86.97</v>
      </c>
      <c r="J160" s="580">
        <f>'3. Trade in Services'!J178</f>
        <v>94.537000000000006</v>
      </c>
      <c r="K160" s="580">
        <f>'3. Trade in Services'!K178</f>
        <v>100.206</v>
      </c>
      <c r="L160" s="580">
        <f>'3. Trade in Services'!L178</f>
        <v>104.155</v>
      </c>
      <c r="M160" s="580">
        <f>'3. Trade in Services'!M178</f>
        <v>106.075</v>
      </c>
      <c r="N160" s="580">
        <f>'3. Trade in Services'!N178</f>
        <v>116.336</v>
      </c>
      <c r="O160" s="580">
        <f>'3. Trade in Services'!O178</f>
        <v>122.438</v>
      </c>
      <c r="P160" s="580">
        <f>'3. Trade in Services'!P178</f>
        <v>142.18799999999999</v>
      </c>
      <c r="Q160" s="580">
        <f>'3. Trade in Services'!Q178</f>
        <v>136.56299999999999</v>
      </c>
      <c r="R160" s="580">
        <f>'3. Trade in Services'!R178</f>
        <v>141.41</v>
      </c>
      <c r="S160" s="580">
        <f>'3. Trade in Services'!S178</f>
        <v>160.148</v>
      </c>
      <c r="T160" s="580">
        <f>'3. Trade in Services'!T178</f>
        <v>163.93700000000001</v>
      </c>
      <c r="U160" s="580">
        <f>'3. Trade in Services'!U178</f>
        <v>166.70400000000001</v>
      </c>
    </row>
    <row r="161" spans="1:21" s="465" customFormat="1" x14ac:dyDescent="0.3">
      <c r="A161" s="6" t="s">
        <v>97</v>
      </c>
      <c r="B161" s="580">
        <f>'3. Trade in Services'!B179</f>
        <v>27.946000000000002</v>
      </c>
      <c r="C161" s="580">
        <f>'3. Trade in Services'!C179</f>
        <v>30.780999999999999</v>
      </c>
      <c r="D161" s="580">
        <f>'3. Trade in Services'!D179</f>
        <v>31.791</v>
      </c>
      <c r="E161" s="580">
        <f>'3. Trade in Services'!E179</f>
        <v>33.683</v>
      </c>
      <c r="F161" s="580">
        <f>'3. Trade in Services'!F179</f>
        <v>36.426000000000002</v>
      </c>
      <c r="G161" s="580">
        <f>'3. Trade in Services'!G179</f>
        <v>38.973999999999997</v>
      </c>
      <c r="H161" s="580">
        <f>'3. Trade in Services'!H179</f>
        <v>42.582999999999998</v>
      </c>
      <c r="I161" s="580">
        <f>'3. Trade in Services'!I179</f>
        <v>47.079000000000001</v>
      </c>
      <c r="J161" s="580">
        <f>'3. Trade in Services'!J179</f>
        <v>50.356000000000002</v>
      </c>
      <c r="K161" s="580">
        <f>'3. Trade in Services'!K179</f>
        <v>56.521999999999998</v>
      </c>
      <c r="L161" s="580">
        <f>'3. Trade in Services'!L179</f>
        <v>58.241</v>
      </c>
      <c r="M161" s="580">
        <f>'3. Trade in Services'!M179</f>
        <v>60.851999999999997</v>
      </c>
      <c r="N161" s="580">
        <f>'3. Trade in Services'!N179</f>
        <v>61.265999999999998</v>
      </c>
      <c r="O161" s="580">
        <f>'3. Trade in Services'!O179</f>
        <v>61.61</v>
      </c>
      <c r="P161" s="580">
        <f>'3. Trade in Services'!P179</f>
        <v>67.667000000000002</v>
      </c>
      <c r="Q161" s="580">
        <f>'3. Trade in Services'!Q179</f>
        <v>68.215999999999994</v>
      </c>
      <c r="R161" s="580">
        <f>'3. Trade in Services'!R179</f>
        <v>73.385000000000005</v>
      </c>
      <c r="S161" s="580">
        <f>'3. Trade in Services'!S179</f>
        <v>78.13</v>
      </c>
      <c r="T161" s="580">
        <f>'3. Trade in Services'!T179</f>
        <v>84.191000000000003</v>
      </c>
      <c r="U161" s="580">
        <f>'3. Trade in Services'!U179</f>
        <v>88.983999999999995</v>
      </c>
    </row>
    <row r="162" spans="1:21" s="298" customFormat="1" ht="15" thickBot="1" x14ac:dyDescent="0.35">
      <c r="A162" s="732" t="s">
        <v>34</v>
      </c>
      <c r="B162" s="733">
        <f>B160-B161</f>
        <v>17.548999999999996</v>
      </c>
      <c r="C162" s="733">
        <f t="shared" ref="C162:U162" si="11">C160-C161</f>
        <v>17.893999999999998</v>
      </c>
      <c r="D162" s="733">
        <f t="shared" si="11"/>
        <v>20.046000000000003</v>
      </c>
      <c r="E162" s="733">
        <f t="shared" si="11"/>
        <v>21.64</v>
      </c>
      <c r="F162" s="733">
        <f t="shared" si="11"/>
        <v>25.643999999999998</v>
      </c>
      <c r="G162" s="733">
        <f t="shared" si="11"/>
        <v>29.842999999999996</v>
      </c>
      <c r="H162" s="733">
        <f t="shared" si="11"/>
        <v>32.744</v>
      </c>
      <c r="I162" s="733">
        <f t="shared" si="11"/>
        <v>39.890999999999998</v>
      </c>
      <c r="J162" s="733">
        <f t="shared" si="11"/>
        <v>44.181000000000004</v>
      </c>
      <c r="K162" s="733">
        <f t="shared" si="11"/>
        <v>43.684000000000005</v>
      </c>
      <c r="L162" s="733">
        <f t="shared" si="11"/>
        <v>45.914000000000001</v>
      </c>
      <c r="M162" s="733">
        <f t="shared" si="11"/>
        <v>45.223000000000006</v>
      </c>
      <c r="N162" s="733">
        <f t="shared" si="11"/>
        <v>55.07</v>
      </c>
      <c r="O162" s="733">
        <f t="shared" si="11"/>
        <v>60.828000000000003</v>
      </c>
      <c r="P162" s="733">
        <f t="shared" si="11"/>
        <v>74.520999999999987</v>
      </c>
      <c r="Q162" s="733">
        <f t="shared" si="11"/>
        <v>68.346999999999994</v>
      </c>
      <c r="R162" s="733">
        <f t="shared" si="11"/>
        <v>68.024999999999991</v>
      </c>
      <c r="S162" s="733">
        <f t="shared" si="11"/>
        <v>82.018000000000001</v>
      </c>
      <c r="T162" s="733">
        <f t="shared" si="11"/>
        <v>79.746000000000009</v>
      </c>
      <c r="U162" s="733">
        <f t="shared" si="11"/>
        <v>77.720000000000013</v>
      </c>
    </row>
    <row r="163" spans="1:21" ht="15" thickTop="1" x14ac:dyDescent="0.3"/>
    <row r="168" spans="1:21" ht="15" thickBot="1" x14ac:dyDescent="0.35">
      <c r="G168" s="731"/>
    </row>
    <row r="169" spans="1:21" ht="15" thickTop="1" x14ac:dyDescent="0.3"/>
  </sheetData>
  <mergeCells count="10">
    <mergeCell ref="A138:XFD138"/>
    <mergeCell ref="A107:C107"/>
    <mergeCell ref="A94:C104"/>
    <mergeCell ref="A2:J2"/>
    <mergeCell ref="A55:D55"/>
    <mergeCell ref="A41:J41"/>
    <mergeCell ref="A47:D47"/>
    <mergeCell ref="D35:I37"/>
    <mergeCell ref="A29:C30"/>
    <mergeCell ref="A3:J3"/>
  </mergeCells>
  <phoneticPr fontId="35" type="noConversion"/>
  <hyperlinks>
    <hyperlink ref="D28" r:id="rId1" xr:uid="{6AC61B0D-ACE6-4632-955E-01E334953DBE}"/>
    <hyperlink ref="V147" r:id="rId2" xr:uid="{D779F65A-744A-422B-9009-E5AE90C07D46}"/>
    <hyperlink ref="V151" r:id="rId3" xr:uid="{BE1D0452-35EC-40C3-AC67-A0A0F51969E2}"/>
    <hyperlink ref="V152" r:id="rId4" xr:uid="{5FFE26EA-7E6C-4CDC-A1FE-09D99A87E864}"/>
    <hyperlink ref="V148" r:id="rId5" xr:uid="{A1C06EF3-AE5F-445C-95AE-F7A8B2FF2D83}"/>
  </hyperlinks>
  <pageMargins left="0.7" right="0.7" top="0.75" bottom="0.75" header="0.3" footer="0.3"/>
  <pageSetup paperSize="9" orientation="landscape" horizontalDpi="4294967293" verticalDpi="4294967293"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0DF40-6664-47D6-A80F-CF46DE70A76A}">
  <dimension ref="A1:AS69"/>
  <sheetViews>
    <sheetView topLeftCell="A49" zoomScaleNormal="100" workbookViewId="0"/>
  </sheetViews>
  <sheetFormatPr defaultRowHeight="14.4" x14ac:dyDescent="0.3"/>
  <cols>
    <col min="1" max="1" width="8.88671875" style="465"/>
    <col min="2" max="2" width="15.6640625" style="465" bestFit="1" customWidth="1"/>
    <col min="3" max="44" width="17" style="465" customWidth="1"/>
    <col min="45" max="16384" width="8.88671875" style="465"/>
  </cols>
  <sheetData>
    <row r="1" spans="1:45" x14ac:dyDescent="0.3">
      <c r="A1" s="92" t="s">
        <v>764</v>
      </c>
    </row>
    <row r="2" spans="1:45" ht="74.25" customHeight="1" x14ac:dyDescent="0.3">
      <c r="A2" s="706">
        <v>2018</v>
      </c>
      <c r="B2" s="706" t="s">
        <v>765</v>
      </c>
      <c r="C2" s="706" t="s">
        <v>766</v>
      </c>
      <c r="D2" s="706" t="s">
        <v>653</v>
      </c>
      <c r="E2" s="706" t="s">
        <v>767</v>
      </c>
      <c r="F2" s="707" t="s">
        <v>317</v>
      </c>
      <c r="G2" s="707" t="s">
        <v>768</v>
      </c>
      <c r="H2" s="707" t="s">
        <v>769</v>
      </c>
      <c r="I2" s="706" t="s">
        <v>770</v>
      </c>
      <c r="J2" s="706" t="s">
        <v>771</v>
      </c>
      <c r="K2" s="706" t="s">
        <v>138</v>
      </c>
      <c r="L2" s="707" t="s">
        <v>772</v>
      </c>
      <c r="M2" s="707" t="s">
        <v>773</v>
      </c>
      <c r="N2" s="707" t="s">
        <v>139</v>
      </c>
      <c r="O2" s="706" t="s">
        <v>774</v>
      </c>
      <c r="P2" s="706" t="s">
        <v>775</v>
      </c>
      <c r="Q2" s="706" t="s">
        <v>776</v>
      </c>
      <c r="R2" s="707" t="s">
        <v>777</v>
      </c>
      <c r="S2" s="707" t="s">
        <v>778</v>
      </c>
      <c r="T2" s="706" t="s">
        <v>779</v>
      </c>
      <c r="U2" s="706" t="s">
        <v>780</v>
      </c>
      <c r="V2" s="707" t="s">
        <v>781</v>
      </c>
      <c r="W2" s="706" t="s">
        <v>782</v>
      </c>
      <c r="X2" s="706" t="s">
        <v>783</v>
      </c>
      <c r="Y2" s="706" t="s">
        <v>320</v>
      </c>
      <c r="Z2" s="706" t="s">
        <v>784</v>
      </c>
      <c r="AA2" s="706" t="s">
        <v>785</v>
      </c>
      <c r="AB2" s="706" t="s">
        <v>786</v>
      </c>
      <c r="AC2" s="706" t="s">
        <v>787</v>
      </c>
      <c r="AD2" s="706" t="s">
        <v>788</v>
      </c>
      <c r="AE2" s="706" t="s">
        <v>789</v>
      </c>
      <c r="AF2" s="708" t="s">
        <v>790</v>
      </c>
      <c r="AG2" s="706" t="s">
        <v>791</v>
      </c>
      <c r="AH2" s="706" t="s">
        <v>792</v>
      </c>
      <c r="AI2" s="708" t="s">
        <v>793</v>
      </c>
      <c r="AJ2" s="706" t="s">
        <v>794</v>
      </c>
      <c r="AK2" s="706" t="s">
        <v>795</v>
      </c>
      <c r="AL2" s="706" t="s">
        <v>796</v>
      </c>
      <c r="AM2" s="706" t="s">
        <v>797</v>
      </c>
      <c r="AN2" s="706" t="s">
        <v>798</v>
      </c>
      <c r="AO2" s="706" t="s">
        <v>799</v>
      </c>
      <c r="AP2" s="706" t="s">
        <v>800</v>
      </c>
      <c r="AQ2" s="706" t="s">
        <v>801</v>
      </c>
      <c r="AR2" s="706" t="s">
        <v>802</v>
      </c>
      <c r="AS2" s="706"/>
    </row>
    <row r="3" spans="1:45" s="25" customFormat="1" ht="13.2" x14ac:dyDescent="0.25">
      <c r="B3" s="261" t="s">
        <v>803</v>
      </c>
      <c r="C3" s="707">
        <v>0</v>
      </c>
      <c r="D3" s="707">
        <v>1</v>
      </c>
      <c r="E3" s="707">
        <v>2</v>
      </c>
      <c r="F3" s="707">
        <v>3</v>
      </c>
      <c r="G3" s="707">
        <v>3.1</v>
      </c>
      <c r="H3" s="707">
        <v>3.2</v>
      </c>
      <c r="I3" s="707">
        <v>3.3</v>
      </c>
      <c r="J3" s="707">
        <v>3.4</v>
      </c>
      <c r="K3" s="707">
        <v>4</v>
      </c>
      <c r="L3" s="707">
        <v>4.0999999999999996</v>
      </c>
      <c r="M3" s="707">
        <v>4.2</v>
      </c>
      <c r="N3" s="707">
        <v>5</v>
      </c>
      <c r="O3" s="707">
        <v>5.0999999999999996</v>
      </c>
      <c r="P3" s="707">
        <v>5.2</v>
      </c>
      <c r="Q3" s="707">
        <v>6</v>
      </c>
      <c r="R3" s="707">
        <v>6.1</v>
      </c>
      <c r="S3" s="707">
        <v>6.2</v>
      </c>
      <c r="T3" s="707">
        <v>6.3</v>
      </c>
      <c r="U3" s="707">
        <v>6.4</v>
      </c>
      <c r="V3" s="707">
        <v>7</v>
      </c>
      <c r="W3" s="707">
        <v>7.1</v>
      </c>
      <c r="X3" s="707">
        <v>7.2</v>
      </c>
      <c r="Y3" s="707">
        <v>8</v>
      </c>
      <c r="Z3" s="707">
        <v>9</v>
      </c>
      <c r="AA3" s="707">
        <v>9.1</v>
      </c>
      <c r="AB3" s="707">
        <v>9.1999999999999993</v>
      </c>
      <c r="AC3" s="707">
        <v>9.3000000000000007</v>
      </c>
      <c r="AD3" s="707">
        <v>10</v>
      </c>
      <c r="AE3" s="707">
        <v>10.1</v>
      </c>
      <c r="AF3" s="707">
        <v>10.199999999999999</v>
      </c>
      <c r="AG3" s="707" t="s">
        <v>804</v>
      </c>
      <c r="AH3" s="707" t="s">
        <v>805</v>
      </c>
      <c r="AI3" s="707">
        <v>10.3</v>
      </c>
      <c r="AJ3" s="707" t="s">
        <v>806</v>
      </c>
      <c r="AK3" s="707" t="s">
        <v>807</v>
      </c>
      <c r="AL3" s="707" t="s">
        <v>808</v>
      </c>
      <c r="AM3" s="707" t="s">
        <v>809</v>
      </c>
      <c r="AN3" s="707" t="s">
        <v>810</v>
      </c>
      <c r="AO3" s="707">
        <v>11</v>
      </c>
      <c r="AP3" s="707">
        <v>11.1</v>
      </c>
      <c r="AQ3" s="707">
        <v>11.2</v>
      </c>
      <c r="AR3" s="707">
        <v>12</v>
      </c>
    </row>
    <row r="4" spans="1:45" s="25" customFormat="1" ht="13.2" x14ac:dyDescent="0.25">
      <c r="C4" s="707"/>
      <c r="D4" s="707"/>
      <c r="E4" s="707"/>
      <c r="F4" s="707"/>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7"/>
      <c r="AQ4" s="707"/>
      <c r="AR4" s="707"/>
    </row>
    <row r="5" spans="1:45" s="25" customFormat="1" ht="13.2" x14ac:dyDescent="0.25">
      <c r="B5" s="262" t="s">
        <v>811</v>
      </c>
    </row>
    <row r="6" spans="1:45" s="25" customFormat="1" ht="13.2" x14ac:dyDescent="0.25">
      <c r="B6" s="25" t="s">
        <v>812</v>
      </c>
      <c r="C6" s="25">
        <v>116707</v>
      </c>
      <c r="D6" s="25">
        <v>2177</v>
      </c>
      <c r="E6" s="25">
        <v>741</v>
      </c>
      <c r="F6" s="25">
        <v>13091</v>
      </c>
      <c r="G6" s="25">
        <v>2695</v>
      </c>
      <c r="H6" s="25">
        <v>9638</v>
      </c>
      <c r="I6" s="25">
        <v>45</v>
      </c>
      <c r="J6" s="25">
        <v>713</v>
      </c>
      <c r="K6" s="25">
        <v>17123</v>
      </c>
      <c r="L6" s="25">
        <v>2441</v>
      </c>
      <c r="M6" s="25">
        <v>14682</v>
      </c>
      <c r="N6" s="25">
        <v>1013</v>
      </c>
      <c r="O6" s="25">
        <v>861</v>
      </c>
      <c r="P6" s="25">
        <v>152</v>
      </c>
      <c r="Q6" s="25">
        <v>6304</v>
      </c>
      <c r="R6" s="25">
        <v>5707</v>
      </c>
      <c r="S6" s="25">
        <v>79</v>
      </c>
      <c r="T6" s="25">
        <v>518</v>
      </c>
      <c r="U6" s="25">
        <v>0</v>
      </c>
      <c r="V6" s="25">
        <v>26741</v>
      </c>
      <c r="W6" s="25">
        <v>22659</v>
      </c>
      <c r="X6" s="25">
        <v>4082</v>
      </c>
      <c r="Y6" s="25">
        <v>6025</v>
      </c>
      <c r="Z6" s="25">
        <v>9234</v>
      </c>
      <c r="AA6" s="25">
        <v>2593</v>
      </c>
      <c r="AB6" s="25">
        <v>5571</v>
      </c>
      <c r="AC6" s="25">
        <v>1070</v>
      </c>
      <c r="AD6" s="25">
        <v>32163</v>
      </c>
      <c r="AE6" s="25">
        <v>2320</v>
      </c>
      <c r="AF6" s="25">
        <v>12955</v>
      </c>
      <c r="AG6" s="25">
        <v>8326</v>
      </c>
      <c r="AH6" s="25">
        <v>4629</v>
      </c>
      <c r="AI6" s="25">
        <v>16888</v>
      </c>
      <c r="AJ6" s="25">
        <v>1962</v>
      </c>
      <c r="AK6" s="25">
        <v>49</v>
      </c>
      <c r="AL6" s="25">
        <v>58</v>
      </c>
      <c r="AM6" s="25">
        <v>912</v>
      </c>
      <c r="AN6" s="25">
        <v>13907</v>
      </c>
      <c r="AO6" s="25">
        <v>1582</v>
      </c>
      <c r="AP6" s="25">
        <v>896</v>
      </c>
      <c r="AQ6" s="25">
        <v>686</v>
      </c>
      <c r="AR6" s="25">
        <v>513</v>
      </c>
    </row>
    <row r="7" spans="1:45" s="25" customFormat="1" ht="13.2" x14ac:dyDescent="0.25">
      <c r="B7" s="25" t="s">
        <v>813</v>
      </c>
      <c r="C7" s="25">
        <v>166704</v>
      </c>
      <c r="D7" s="25">
        <v>720</v>
      </c>
      <c r="E7" s="25">
        <v>637</v>
      </c>
      <c r="F7" s="25">
        <v>17128</v>
      </c>
      <c r="G7" s="25">
        <v>5439</v>
      </c>
      <c r="H7" s="25">
        <v>9131</v>
      </c>
      <c r="I7" s="25">
        <v>1504</v>
      </c>
      <c r="J7" s="25">
        <v>1054</v>
      </c>
      <c r="K7" s="25">
        <v>21767</v>
      </c>
      <c r="L7" s="25">
        <v>3104</v>
      </c>
      <c r="M7" s="25">
        <v>18663</v>
      </c>
      <c r="N7" s="25">
        <v>1375</v>
      </c>
      <c r="O7" s="25">
        <v>1155</v>
      </c>
      <c r="P7" s="25">
        <v>220</v>
      </c>
      <c r="Q7" s="25">
        <v>13309</v>
      </c>
      <c r="R7" s="25">
        <v>10213</v>
      </c>
      <c r="S7" s="25">
        <v>454</v>
      </c>
      <c r="T7" s="25">
        <v>2429</v>
      </c>
      <c r="U7" s="25">
        <v>213</v>
      </c>
      <c r="V7" s="25">
        <v>34670</v>
      </c>
      <c r="W7" s="25">
        <v>27789</v>
      </c>
      <c r="X7" s="25">
        <v>6881</v>
      </c>
      <c r="Y7" s="25">
        <v>11049</v>
      </c>
      <c r="Z7" s="25">
        <v>11544</v>
      </c>
      <c r="AA7" s="25">
        <v>3133</v>
      </c>
      <c r="AB7" s="25">
        <v>5050</v>
      </c>
      <c r="AC7" s="25">
        <v>3361</v>
      </c>
      <c r="AD7" s="25">
        <v>49153</v>
      </c>
      <c r="AE7" s="25">
        <v>5615</v>
      </c>
      <c r="AF7" s="25">
        <v>19653</v>
      </c>
      <c r="AG7" s="25">
        <v>17114</v>
      </c>
      <c r="AH7" s="25">
        <v>2539</v>
      </c>
      <c r="AI7" s="25">
        <v>23885</v>
      </c>
      <c r="AJ7" s="25">
        <v>8874</v>
      </c>
      <c r="AK7" s="25">
        <v>262</v>
      </c>
      <c r="AL7" s="25">
        <v>292</v>
      </c>
      <c r="AM7" s="25">
        <v>1069</v>
      </c>
      <c r="AN7" s="25">
        <v>13388</v>
      </c>
      <c r="AO7" s="25">
        <v>3325</v>
      </c>
      <c r="AP7" s="25">
        <v>2159</v>
      </c>
      <c r="AQ7" s="25">
        <v>1166</v>
      </c>
      <c r="AR7" s="25">
        <v>2027</v>
      </c>
    </row>
    <row r="8" spans="1:45" s="25" customFormat="1" ht="13.8" thickBot="1" x14ac:dyDescent="0.3">
      <c r="B8" s="261" t="s">
        <v>415</v>
      </c>
      <c r="C8" s="709">
        <v>283411</v>
      </c>
      <c r="D8" s="709">
        <v>2897</v>
      </c>
      <c r="E8" s="709">
        <v>1378</v>
      </c>
      <c r="F8" s="709">
        <v>30219</v>
      </c>
      <c r="G8" s="709">
        <v>8134</v>
      </c>
      <c r="H8" s="709">
        <v>18769</v>
      </c>
      <c r="I8" s="709">
        <v>1549</v>
      </c>
      <c r="J8" s="709">
        <v>1767</v>
      </c>
      <c r="K8" s="709">
        <v>38890</v>
      </c>
      <c r="L8" s="709">
        <v>5545</v>
      </c>
      <c r="M8" s="709">
        <v>33345</v>
      </c>
      <c r="N8" s="709">
        <v>2388</v>
      </c>
      <c r="O8" s="709">
        <v>2016</v>
      </c>
      <c r="P8" s="709">
        <v>372</v>
      </c>
      <c r="Q8" s="709">
        <v>19613</v>
      </c>
      <c r="R8" s="709">
        <v>15920</v>
      </c>
      <c r="S8" s="709">
        <v>533</v>
      </c>
      <c r="T8" s="709">
        <v>2947</v>
      </c>
      <c r="U8" s="709">
        <v>213</v>
      </c>
      <c r="V8" s="709">
        <v>61411</v>
      </c>
      <c r="W8" s="709">
        <v>50448</v>
      </c>
      <c r="X8" s="709">
        <v>10963</v>
      </c>
      <c r="Y8" s="709">
        <v>17074</v>
      </c>
      <c r="Z8" s="709">
        <v>20778</v>
      </c>
      <c r="AA8" s="709">
        <v>5726</v>
      </c>
      <c r="AB8" s="709">
        <v>10621</v>
      </c>
      <c r="AC8" s="709">
        <v>4431</v>
      </c>
      <c r="AD8" s="709">
        <v>81316</v>
      </c>
      <c r="AE8" s="709">
        <v>7935</v>
      </c>
      <c r="AF8" s="709">
        <v>32608</v>
      </c>
      <c r="AG8" s="709">
        <v>25440</v>
      </c>
      <c r="AH8" s="709">
        <v>7168</v>
      </c>
      <c r="AI8" s="709">
        <v>40773</v>
      </c>
      <c r="AJ8" s="709">
        <v>10836</v>
      </c>
      <c r="AK8" s="709">
        <v>311</v>
      </c>
      <c r="AL8" s="709">
        <v>350</v>
      </c>
      <c r="AM8" s="709">
        <v>1981</v>
      </c>
      <c r="AN8" s="709">
        <v>27295</v>
      </c>
      <c r="AO8" s="709">
        <v>4907</v>
      </c>
      <c r="AP8" s="709">
        <v>3055</v>
      </c>
      <c r="AQ8" s="709">
        <v>1852</v>
      </c>
      <c r="AR8" s="709">
        <v>2540</v>
      </c>
    </row>
    <row r="9" spans="1:45" x14ac:dyDescent="0.3">
      <c r="C9" s="465">
        <f>D8+E8+F8+K8+N8+Q8+V8+Y8+Z8+AD8+AO8+AR8</f>
        <v>283411</v>
      </c>
    </row>
    <row r="11" spans="1:45" x14ac:dyDescent="0.3">
      <c r="B11" s="262" t="s">
        <v>814</v>
      </c>
    </row>
    <row r="12" spans="1:45" x14ac:dyDescent="0.3">
      <c r="B12" s="266" t="s">
        <v>812</v>
      </c>
      <c r="C12" s="263">
        <v>87303</v>
      </c>
      <c r="D12" s="263">
        <v>641</v>
      </c>
      <c r="E12" s="263">
        <v>463</v>
      </c>
      <c r="F12" s="263">
        <v>12711</v>
      </c>
      <c r="G12" s="263">
        <v>2057</v>
      </c>
      <c r="H12" s="263">
        <v>9266</v>
      </c>
      <c r="I12" s="263">
        <v>496</v>
      </c>
      <c r="J12" s="263">
        <v>892</v>
      </c>
      <c r="K12" s="263">
        <v>34768</v>
      </c>
      <c r="L12" s="263">
        <v>3622</v>
      </c>
      <c r="M12" s="263">
        <v>31146</v>
      </c>
      <c r="N12" s="263">
        <v>1244</v>
      </c>
      <c r="O12" s="263">
        <v>405</v>
      </c>
      <c r="P12" s="263">
        <v>839</v>
      </c>
      <c r="Q12" s="263">
        <v>800</v>
      </c>
      <c r="R12" s="263">
        <v>686</v>
      </c>
      <c r="S12" s="263">
        <v>0</v>
      </c>
      <c r="T12" s="263">
        <v>111</v>
      </c>
      <c r="U12" s="263">
        <v>3</v>
      </c>
      <c r="V12" s="263">
        <v>6321</v>
      </c>
      <c r="W12" s="263">
        <v>5063</v>
      </c>
      <c r="X12" s="263">
        <v>1258</v>
      </c>
      <c r="Y12" s="263">
        <v>3387</v>
      </c>
      <c r="Z12" s="263">
        <v>7222</v>
      </c>
      <c r="AA12" s="263">
        <v>3547</v>
      </c>
      <c r="AB12" s="263">
        <v>2992</v>
      </c>
      <c r="AC12" s="263">
        <v>683</v>
      </c>
      <c r="AD12" s="263">
        <v>17540</v>
      </c>
      <c r="AE12" s="263">
        <v>1193</v>
      </c>
      <c r="AF12" s="263">
        <v>4441</v>
      </c>
      <c r="AG12" s="263">
        <v>2719</v>
      </c>
      <c r="AH12" s="263">
        <v>1722</v>
      </c>
      <c r="AI12" s="263">
        <v>11906</v>
      </c>
      <c r="AJ12" s="263">
        <v>1367</v>
      </c>
      <c r="AK12" s="263">
        <v>413</v>
      </c>
      <c r="AL12" s="263">
        <v>287</v>
      </c>
      <c r="AM12" s="263">
        <v>602</v>
      </c>
      <c r="AN12" s="263">
        <v>9237</v>
      </c>
      <c r="AO12" s="263">
        <v>461</v>
      </c>
      <c r="AP12" s="263">
        <v>373</v>
      </c>
      <c r="AQ12" s="263">
        <v>88</v>
      </c>
      <c r="AR12" s="263">
        <v>1745</v>
      </c>
    </row>
    <row r="13" spans="1:45" x14ac:dyDescent="0.3">
      <c r="B13" s="266" t="s">
        <v>813</v>
      </c>
      <c r="C13" s="263">
        <v>88984</v>
      </c>
      <c r="D13" s="263">
        <v>284</v>
      </c>
      <c r="E13" s="263">
        <v>408</v>
      </c>
      <c r="F13" s="263">
        <v>11198</v>
      </c>
      <c r="G13" s="263">
        <v>2392</v>
      </c>
      <c r="H13" s="263">
        <v>8061</v>
      </c>
      <c r="I13" s="263">
        <v>56</v>
      </c>
      <c r="J13" s="263">
        <v>689</v>
      </c>
      <c r="K13" s="263">
        <v>22064</v>
      </c>
      <c r="L13" s="263">
        <v>2299</v>
      </c>
      <c r="M13" s="263">
        <v>19765</v>
      </c>
      <c r="N13" s="263">
        <v>716</v>
      </c>
      <c r="O13" s="263">
        <v>610</v>
      </c>
      <c r="P13" s="263">
        <v>106</v>
      </c>
      <c r="Q13" s="263">
        <v>977</v>
      </c>
      <c r="R13" s="263">
        <v>829</v>
      </c>
      <c r="S13" s="263">
        <v>0</v>
      </c>
      <c r="T13" s="263">
        <v>148</v>
      </c>
      <c r="U13" s="263">
        <v>0</v>
      </c>
      <c r="V13" s="263">
        <v>12121</v>
      </c>
      <c r="W13" s="263">
        <v>10517</v>
      </c>
      <c r="X13" s="263">
        <v>1604</v>
      </c>
      <c r="Y13" s="263">
        <v>6630</v>
      </c>
      <c r="Z13" s="263">
        <v>5643</v>
      </c>
      <c r="AA13" s="263">
        <v>2163</v>
      </c>
      <c r="AB13" s="263">
        <v>2780</v>
      </c>
      <c r="AC13" s="263">
        <v>700</v>
      </c>
      <c r="AD13" s="263">
        <v>23265</v>
      </c>
      <c r="AE13" s="263">
        <v>1936</v>
      </c>
      <c r="AF13" s="263">
        <v>4898</v>
      </c>
      <c r="AG13" s="263">
        <v>3708</v>
      </c>
      <c r="AH13" s="263">
        <v>1190</v>
      </c>
      <c r="AI13" s="263">
        <v>16431</v>
      </c>
      <c r="AJ13" s="263">
        <v>1563</v>
      </c>
      <c r="AK13" s="263">
        <v>221</v>
      </c>
      <c r="AL13" s="263">
        <v>693</v>
      </c>
      <c r="AM13" s="263">
        <v>635</v>
      </c>
      <c r="AN13" s="263">
        <v>13319</v>
      </c>
      <c r="AO13" s="263">
        <v>2954</v>
      </c>
      <c r="AP13" s="263">
        <v>244</v>
      </c>
      <c r="AQ13" s="263">
        <v>2710</v>
      </c>
      <c r="AR13" s="263">
        <v>2724</v>
      </c>
    </row>
    <row r="14" spans="1:45" ht="15" thickBot="1" x14ac:dyDescent="0.35">
      <c r="B14" s="710" t="s">
        <v>415</v>
      </c>
      <c r="C14" s="709">
        <v>176287</v>
      </c>
      <c r="D14" s="709">
        <v>925</v>
      </c>
      <c r="E14" s="709">
        <v>871</v>
      </c>
      <c r="F14" s="709">
        <v>23909</v>
      </c>
      <c r="G14" s="709">
        <v>4449</v>
      </c>
      <c r="H14" s="709">
        <v>17327</v>
      </c>
      <c r="I14" s="709">
        <v>552</v>
      </c>
      <c r="J14" s="709">
        <v>1581</v>
      </c>
      <c r="K14" s="709">
        <v>56832</v>
      </c>
      <c r="L14" s="709">
        <v>5921</v>
      </c>
      <c r="M14" s="709">
        <v>50911</v>
      </c>
      <c r="N14" s="709">
        <v>1960</v>
      </c>
      <c r="O14" s="709">
        <v>1015</v>
      </c>
      <c r="P14" s="709">
        <v>945</v>
      </c>
      <c r="Q14" s="709">
        <v>1777</v>
      </c>
      <c r="R14" s="709">
        <v>1515</v>
      </c>
      <c r="S14" s="709">
        <v>0</v>
      </c>
      <c r="T14" s="709">
        <v>259</v>
      </c>
      <c r="U14" s="709">
        <v>3</v>
      </c>
      <c r="V14" s="709">
        <v>18442</v>
      </c>
      <c r="W14" s="709">
        <v>15580</v>
      </c>
      <c r="X14" s="709">
        <v>2862</v>
      </c>
      <c r="Y14" s="709">
        <v>10017</v>
      </c>
      <c r="Z14" s="709">
        <v>12865</v>
      </c>
      <c r="AA14" s="709">
        <v>5710</v>
      </c>
      <c r="AB14" s="709">
        <v>5772</v>
      </c>
      <c r="AC14" s="709">
        <v>1383</v>
      </c>
      <c r="AD14" s="709">
        <v>40805</v>
      </c>
      <c r="AE14" s="709">
        <v>3129</v>
      </c>
      <c r="AF14" s="709">
        <v>9339</v>
      </c>
      <c r="AG14" s="709">
        <v>6427</v>
      </c>
      <c r="AH14" s="709">
        <v>2912</v>
      </c>
      <c r="AI14" s="709">
        <v>28337</v>
      </c>
      <c r="AJ14" s="709">
        <v>2930</v>
      </c>
      <c r="AK14" s="709">
        <v>634</v>
      </c>
      <c r="AL14" s="709">
        <v>980</v>
      </c>
      <c r="AM14" s="709">
        <v>1237</v>
      </c>
      <c r="AN14" s="709">
        <v>22556</v>
      </c>
      <c r="AO14" s="709">
        <v>3415</v>
      </c>
      <c r="AP14" s="709">
        <v>617</v>
      </c>
      <c r="AQ14" s="709">
        <v>2798</v>
      </c>
      <c r="AR14" s="709">
        <v>4469</v>
      </c>
    </row>
    <row r="17" spans="1:45" ht="74.25" customHeight="1" x14ac:dyDescent="0.3">
      <c r="A17" s="706">
        <v>2017</v>
      </c>
      <c r="B17" s="706" t="s">
        <v>765</v>
      </c>
      <c r="C17" s="706" t="s">
        <v>766</v>
      </c>
      <c r="D17" s="706" t="s">
        <v>653</v>
      </c>
      <c r="E17" s="706" t="s">
        <v>767</v>
      </c>
      <c r="F17" s="707" t="s">
        <v>317</v>
      </c>
      <c r="G17" s="707" t="s">
        <v>768</v>
      </c>
      <c r="H17" s="707" t="s">
        <v>769</v>
      </c>
      <c r="I17" s="706" t="s">
        <v>770</v>
      </c>
      <c r="J17" s="706" t="s">
        <v>771</v>
      </c>
      <c r="K17" s="706" t="s">
        <v>138</v>
      </c>
      <c r="L17" s="707" t="s">
        <v>772</v>
      </c>
      <c r="M17" s="707" t="s">
        <v>773</v>
      </c>
      <c r="N17" s="707" t="s">
        <v>139</v>
      </c>
      <c r="O17" s="706" t="s">
        <v>774</v>
      </c>
      <c r="P17" s="706" t="s">
        <v>775</v>
      </c>
      <c r="Q17" s="706" t="s">
        <v>776</v>
      </c>
      <c r="R17" s="707" t="s">
        <v>777</v>
      </c>
      <c r="S17" s="707" t="s">
        <v>778</v>
      </c>
      <c r="T17" s="706" t="s">
        <v>779</v>
      </c>
      <c r="U17" s="706" t="s">
        <v>780</v>
      </c>
      <c r="V17" s="707" t="s">
        <v>781</v>
      </c>
      <c r="W17" s="706" t="s">
        <v>782</v>
      </c>
      <c r="X17" s="706" t="s">
        <v>783</v>
      </c>
      <c r="Y17" s="706" t="s">
        <v>320</v>
      </c>
      <c r="Z17" s="706" t="s">
        <v>784</v>
      </c>
      <c r="AA17" s="706" t="s">
        <v>785</v>
      </c>
      <c r="AB17" s="706" t="s">
        <v>786</v>
      </c>
      <c r="AC17" s="706" t="s">
        <v>787</v>
      </c>
      <c r="AD17" s="706" t="s">
        <v>788</v>
      </c>
      <c r="AE17" s="706" t="s">
        <v>789</v>
      </c>
      <c r="AF17" s="708" t="s">
        <v>790</v>
      </c>
      <c r="AG17" s="706" t="s">
        <v>791</v>
      </c>
      <c r="AH17" s="706" t="s">
        <v>792</v>
      </c>
      <c r="AI17" s="708" t="s">
        <v>793</v>
      </c>
      <c r="AJ17" s="706" t="s">
        <v>794</v>
      </c>
      <c r="AK17" s="706" t="s">
        <v>795</v>
      </c>
      <c r="AL17" s="706" t="s">
        <v>796</v>
      </c>
      <c r="AM17" s="706" t="s">
        <v>797</v>
      </c>
      <c r="AN17" s="706" t="s">
        <v>798</v>
      </c>
      <c r="AO17" s="706" t="s">
        <v>799</v>
      </c>
      <c r="AP17" s="706" t="s">
        <v>800</v>
      </c>
      <c r="AQ17" s="706" t="s">
        <v>801</v>
      </c>
      <c r="AR17" s="706" t="s">
        <v>802</v>
      </c>
      <c r="AS17" s="706"/>
    </row>
    <row r="18" spans="1:45" s="25" customFormat="1" ht="13.2" x14ac:dyDescent="0.25">
      <c r="B18" s="261" t="s">
        <v>803</v>
      </c>
      <c r="C18" s="707">
        <v>0</v>
      </c>
      <c r="D18" s="707">
        <v>1</v>
      </c>
      <c r="E18" s="707">
        <v>2</v>
      </c>
      <c r="F18" s="707">
        <v>3</v>
      </c>
      <c r="G18" s="707">
        <v>3.1</v>
      </c>
      <c r="H18" s="707">
        <v>3.2</v>
      </c>
      <c r="I18" s="707">
        <v>3.3</v>
      </c>
      <c r="J18" s="707">
        <v>3.4</v>
      </c>
      <c r="K18" s="707">
        <v>4</v>
      </c>
      <c r="L18" s="707">
        <v>4.0999999999999996</v>
      </c>
      <c r="M18" s="707">
        <v>4.2</v>
      </c>
      <c r="N18" s="707">
        <v>5</v>
      </c>
      <c r="O18" s="707">
        <v>5.0999999999999996</v>
      </c>
      <c r="P18" s="707">
        <v>5.2</v>
      </c>
      <c r="Q18" s="707">
        <v>6</v>
      </c>
      <c r="R18" s="707">
        <v>6.1</v>
      </c>
      <c r="S18" s="707">
        <v>6.2</v>
      </c>
      <c r="T18" s="707">
        <v>6.3</v>
      </c>
      <c r="U18" s="707">
        <v>6.4</v>
      </c>
      <c r="V18" s="707">
        <v>7</v>
      </c>
      <c r="W18" s="707">
        <v>7.1</v>
      </c>
      <c r="X18" s="707">
        <v>7.2</v>
      </c>
      <c r="Y18" s="707">
        <v>8</v>
      </c>
      <c r="Z18" s="707">
        <v>9</v>
      </c>
      <c r="AA18" s="707">
        <v>9.1</v>
      </c>
      <c r="AB18" s="707">
        <v>9.1999999999999993</v>
      </c>
      <c r="AC18" s="707">
        <v>9.3000000000000007</v>
      </c>
      <c r="AD18" s="707">
        <v>10</v>
      </c>
      <c r="AE18" s="707">
        <v>10.1</v>
      </c>
      <c r="AF18" s="707">
        <v>10.199999999999999</v>
      </c>
      <c r="AG18" s="707" t="s">
        <v>804</v>
      </c>
      <c r="AH18" s="707" t="s">
        <v>805</v>
      </c>
      <c r="AI18" s="707">
        <v>10.3</v>
      </c>
      <c r="AJ18" s="707" t="s">
        <v>806</v>
      </c>
      <c r="AK18" s="707" t="s">
        <v>807</v>
      </c>
      <c r="AL18" s="707" t="s">
        <v>808</v>
      </c>
      <c r="AM18" s="707" t="s">
        <v>809</v>
      </c>
      <c r="AN18" s="707" t="s">
        <v>810</v>
      </c>
      <c r="AO18" s="707">
        <v>11</v>
      </c>
      <c r="AP18" s="707">
        <v>11.1</v>
      </c>
      <c r="AQ18" s="707">
        <v>11.2</v>
      </c>
      <c r="AR18" s="707">
        <v>12</v>
      </c>
    </row>
    <row r="19" spans="1:45" s="25" customFormat="1" ht="13.2" x14ac:dyDescent="0.25">
      <c r="C19" s="707"/>
      <c r="D19" s="707"/>
      <c r="E19" s="707"/>
      <c r="F19" s="707"/>
      <c r="G19" s="707"/>
      <c r="H19" s="707"/>
      <c r="I19" s="707"/>
      <c r="J19" s="707"/>
      <c r="K19" s="707"/>
      <c r="L19" s="707"/>
      <c r="M19" s="707"/>
      <c r="N19" s="707"/>
      <c r="O19" s="707"/>
      <c r="P19" s="707"/>
      <c r="Q19" s="707"/>
      <c r="R19" s="707"/>
      <c r="S19" s="707"/>
      <c r="T19" s="707"/>
      <c r="U19" s="707"/>
      <c r="V19" s="707"/>
      <c r="W19" s="707"/>
      <c r="X19" s="707"/>
      <c r="Y19" s="707"/>
      <c r="Z19" s="707"/>
      <c r="AA19" s="707"/>
      <c r="AB19" s="707"/>
      <c r="AC19" s="707"/>
      <c r="AD19" s="707"/>
      <c r="AE19" s="707"/>
      <c r="AF19" s="707"/>
      <c r="AG19" s="707"/>
      <c r="AH19" s="707"/>
      <c r="AI19" s="707"/>
      <c r="AJ19" s="707"/>
      <c r="AK19" s="707"/>
      <c r="AL19" s="707"/>
      <c r="AM19" s="707"/>
      <c r="AN19" s="707"/>
      <c r="AO19" s="707"/>
      <c r="AP19" s="707"/>
      <c r="AQ19" s="707"/>
      <c r="AR19" s="707"/>
    </row>
    <row r="20" spans="1:45" s="25" customFormat="1" ht="13.2" x14ac:dyDescent="0.25">
      <c r="B20" s="262" t="s">
        <v>811</v>
      </c>
    </row>
    <row r="21" spans="1:45" s="25" customFormat="1" ht="13.2" x14ac:dyDescent="0.25">
      <c r="B21" s="25" t="s">
        <v>812</v>
      </c>
      <c r="C21" s="263">
        <v>114863</v>
      </c>
      <c r="D21" s="263">
        <v>1647</v>
      </c>
      <c r="E21" s="263">
        <v>701</v>
      </c>
      <c r="F21" s="263">
        <v>13001</v>
      </c>
      <c r="G21" s="263">
        <v>2623</v>
      </c>
      <c r="H21" s="263">
        <v>9603</v>
      </c>
      <c r="I21" s="263">
        <v>50</v>
      </c>
      <c r="J21" s="263">
        <v>725</v>
      </c>
      <c r="K21" s="263">
        <v>16784</v>
      </c>
      <c r="L21" s="263">
        <v>2655</v>
      </c>
      <c r="M21" s="263">
        <v>14129</v>
      </c>
      <c r="N21" s="263">
        <v>1116</v>
      </c>
      <c r="O21" s="263">
        <v>947</v>
      </c>
      <c r="P21" s="263">
        <v>169</v>
      </c>
      <c r="Q21" s="263">
        <v>6338</v>
      </c>
      <c r="R21" s="263">
        <v>5783</v>
      </c>
      <c r="S21" s="263">
        <v>80</v>
      </c>
      <c r="T21" s="263">
        <v>475</v>
      </c>
      <c r="U21" s="263">
        <v>0</v>
      </c>
      <c r="V21" s="263">
        <v>25611</v>
      </c>
      <c r="W21" s="263">
        <v>22041</v>
      </c>
      <c r="X21" s="263">
        <v>3570</v>
      </c>
      <c r="Y21" s="263">
        <v>6992</v>
      </c>
      <c r="Z21" s="263">
        <v>8547</v>
      </c>
      <c r="AA21" s="263">
        <v>2319</v>
      </c>
      <c r="AB21" s="263">
        <v>5190</v>
      </c>
      <c r="AC21" s="263">
        <v>1038</v>
      </c>
      <c r="AD21" s="263">
        <v>32374</v>
      </c>
      <c r="AE21" s="263">
        <v>2436</v>
      </c>
      <c r="AF21" s="263">
        <v>12659</v>
      </c>
      <c r="AG21" s="263">
        <v>8670</v>
      </c>
      <c r="AH21" s="263">
        <v>3989</v>
      </c>
      <c r="AI21" s="263">
        <v>17279</v>
      </c>
      <c r="AJ21" s="263">
        <v>3042</v>
      </c>
      <c r="AK21" s="263">
        <v>89</v>
      </c>
      <c r="AL21" s="263">
        <v>82</v>
      </c>
      <c r="AM21" s="263">
        <v>1400</v>
      </c>
      <c r="AN21" s="263">
        <v>12666</v>
      </c>
      <c r="AO21" s="263">
        <v>1147</v>
      </c>
      <c r="AP21" s="263">
        <v>467</v>
      </c>
      <c r="AQ21" s="263">
        <v>680</v>
      </c>
      <c r="AR21" s="263">
        <v>605</v>
      </c>
    </row>
    <row r="22" spans="1:45" s="25" customFormat="1" ht="13.2" x14ac:dyDescent="0.25">
      <c r="B22" s="25" t="s">
        <v>813</v>
      </c>
      <c r="C22" s="25">
        <v>163937</v>
      </c>
      <c r="D22" s="25">
        <v>1614</v>
      </c>
      <c r="E22" s="25">
        <v>669</v>
      </c>
      <c r="F22" s="25">
        <v>16702</v>
      </c>
      <c r="G22" s="25">
        <v>5237</v>
      </c>
      <c r="H22" s="25">
        <v>9072</v>
      </c>
      <c r="I22" s="25">
        <v>1492</v>
      </c>
      <c r="J22" s="25">
        <v>901</v>
      </c>
      <c r="K22" s="25">
        <v>21327</v>
      </c>
      <c r="L22" s="25">
        <v>3369</v>
      </c>
      <c r="M22" s="25">
        <v>17958</v>
      </c>
      <c r="N22" s="25">
        <v>957</v>
      </c>
      <c r="O22" s="25">
        <v>663</v>
      </c>
      <c r="P22" s="25">
        <v>294</v>
      </c>
      <c r="Q22" s="25">
        <v>12112</v>
      </c>
      <c r="R22" s="25">
        <v>9501</v>
      </c>
      <c r="S22" s="25">
        <v>455</v>
      </c>
      <c r="T22" s="25">
        <v>2156</v>
      </c>
      <c r="U22" s="25">
        <v>0</v>
      </c>
      <c r="V22" s="25">
        <v>33218</v>
      </c>
      <c r="W22" s="25">
        <v>27096</v>
      </c>
      <c r="X22" s="25">
        <v>6122</v>
      </c>
      <c r="Y22" s="25">
        <v>12383</v>
      </c>
      <c r="Z22" s="25">
        <v>11348</v>
      </c>
      <c r="AA22" s="25">
        <v>2638</v>
      </c>
      <c r="AB22" s="25">
        <v>5670</v>
      </c>
      <c r="AC22" s="25">
        <v>3040</v>
      </c>
      <c r="AD22" s="25">
        <v>48388</v>
      </c>
      <c r="AE22" s="25">
        <v>5095</v>
      </c>
      <c r="AF22" s="25">
        <v>16650</v>
      </c>
      <c r="AG22" s="25">
        <v>13781</v>
      </c>
      <c r="AH22" s="25">
        <v>2869</v>
      </c>
      <c r="AI22" s="25">
        <v>26643</v>
      </c>
      <c r="AJ22" s="25">
        <v>8464</v>
      </c>
      <c r="AK22" s="25">
        <v>425</v>
      </c>
      <c r="AL22" s="25">
        <v>518</v>
      </c>
      <c r="AM22" s="25">
        <v>1404</v>
      </c>
      <c r="AN22" s="25">
        <v>15832</v>
      </c>
      <c r="AO22" s="25">
        <v>3141</v>
      </c>
      <c r="AP22" s="25">
        <v>1645</v>
      </c>
      <c r="AQ22" s="25">
        <v>1496</v>
      </c>
      <c r="AR22" s="25">
        <v>2078</v>
      </c>
    </row>
    <row r="23" spans="1:45" s="25" customFormat="1" ht="13.8" thickBot="1" x14ac:dyDescent="0.3">
      <c r="B23" s="261" t="s">
        <v>415</v>
      </c>
      <c r="C23" s="709">
        <v>278800</v>
      </c>
      <c r="D23" s="709">
        <v>3261</v>
      </c>
      <c r="E23" s="709">
        <v>1370</v>
      </c>
      <c r="F23" s="709">
        <v>29703</v>
      </c>
      <c r="G23" s="709">
        <v>7860</v>
      </c>
      <c r="H23" s="709">
        <v>18675</v>
      </c>
      <c r="I23" s="709">
        <v>1542</v>
      </c>
      <c r="J23" s="709">
        <v>1626</v>
      </c>
      <c r="K23" s="709">
        <v>38111</v>
      </c>
      <c r="L23" s="709">
        <v>6024</v>
      </c>
      <c r="M23" s="709">
        <v>32087</v>
      </c>
      <c r="N23" s="709">
        <v>2073</v>
      </c>
      <c r="O23" s="709">
        <v>1610</v>
      </c>
      <c r="P23" s="709">
        <v>463</v>
      </c>
      <c r="Q23" s="709">
        <v>18450</v>
      </c>
      <c r="R23" s="709">
        <v>15284</v>
      </c>
      <c r="S23" s="709">
        <v>535</v>
      </c>
      <c r="T23" s="709">
        <v>2631</v>
      </c>
      <c r="U23" s="709">
        <v>0</v>
      </c>
      <c r="V23" s="709">
        <v>58829</v>
      </c>
      <c r="W23" s="709">
        <v>49137</v>
      </c>
      <c r="X23" s="709">
        <v>9692</v>
      </c>
      <c r="Y23" s="709">
        <v>19375</v>
      </c>
      <c r="Z23" s="709">
        <v>19895</v>
      </c>
      <c r="AA23" s="709">
        <v>4957</v>
      </c>
      <c r="AB23" s="709">
        <v>10860</v>
      </c>
      <c r="AC23" s="709">
        <v>4078</v>
      </c>
      <c r="AD23" s="709">
        <v>80762</v>
      </c>
      <c r="AE23" s="709">
        <v>7531</v>
      </c>
      <c r="AF23" s="709">
        <v>29309</v>
      </c>
      <c r="AG23" s="709">
        <v>22451</v>
      </c>
      <c r="AH23" s="709">
        <v>6858</v>
      </c>
      <c r="AI23" s="709">
        <v>43922</v>
      </c>
      <c r="AJ23" s="709">
        <v>11506</v>
      </c>
      <c r="AK23" s="709">
        <v>514</v>
      </c>
      <c r="AL23" s="709">
        <v>600</v>
      </c>
      <c r="AM23" s="709">
        <v>2804</v>
      </c>
      <c r="AN23" s="709">
        <v>28498</v>
      </c>
      <c r="AO23" s="709">
        <v>4288</v>
      </c>
      <c r="AP23" s="709">
        <v>2112</v>
      </c>
      <c r="AQ23" s="709">
        <v>2176</v>
      </c>
      <c r="AR23" s="709">
        <v>2683</v>
      </c>
    </row>
    <row r="26" spans="1:45" x14ac:dyDescent="0.3">
      <c r="B26" s="262" t="s">
        <v>814</v>
      </c>
    </row>
    <row r="27" spans="1:45" x14ac:dyDescent="0.3">
      <c r="B27" s="266" t="s">
        <v>812</v>
      </c>
      <c r="C27" s="263">
        <v>81507</v>
      </c>
      <c r="D27" s="263">
        <v>1127</v>
      </c>
      <c r="E27" s="263">
        <v>399</v>
      </c>
      <c r="F27" s="263">
        <v>11634</v>
      </c>
      <c r="G27" s="263">
        <v>2033</v>
      </c>
      <c r="H27" s="263">
        <v>8153</v>
      </c>
      <c r="I27" s="263">
        <v>635</v>
      </c>
      <c r="J27" s="263">
        <v>813</v>
      </c>
      <c r="K27" s="263">
        <v>33608</v>
      </c>
      <c r="L27" s="263">
        <v>3501</v>
      </c>
      <c r="M27" s="263">
        <v>30107</v>
      </c>
      <c r="N27" s="263">
        <v>1266</v>
      </c>
      <c r="O27" s="263">
        <v>258</v>
      </c>
      <c r="P27" s="263">
        <v>1008</v>
      </c>
      <c r="Q27" s="263">
        <v>777</v>
      </c>
      <c r="R27" s="263">
        <v>702</v>
      </c>
      <c r="S27" s="263">
        <v>0</v>
      </c>
      <c r="T27" s="263">
        <v>75</v>
      </c>
      <c r="U27" s="263">
        <v>0</v>
      </c>
      <c r="V27" s="263">
        <v>5484</v>
      </c>
      <c r="W27" s="263">
        <v>4483</v>
      </c>
      <c r="X27" s="263">
        <v>1001</v>
      </c>
      <c r="Y27" s="263">
        <v>2865</v>
      </c>
      <c r="Z27" s="263">
        <v>6549</v>
      </c>
      <c r="AA27" s="263">
        <v>2979</v>
      </c>
      <c r="AB27" s="263">
        <v>2885</v>
      </c>
      <c r="AC27" s="263">
        <v>685</v>
      </c>
      <c r="AD27" s="263">
        <v>15443</v>
      </c>
      <c r="AE27" s="263">
        <v>1091</v>
      </c>
      <c r="AF27" s="263">
        <v>4629</v>
      </c>
      <c r="AG27" s="263">
        <v>3106</v>
      </c>
      <c r="AH27" s="263">
        <v>1523</v>
      </c>
      <c r="AI27" s="263">
        <v>9723</v>
      </c>
      <c r="AJ27" s="263">
        <v>757</v>
      </c>
      <c r="AK27" s="263">
        <v>746</v>
      </c>
      <c r="AL27" s="263">
        <v>235</v>
      </c>
      <c r="AM27" s="263">
        <v>366</v>
      </c>
      <c r="AN27" s="263">
        <v>7619</v>
      </c>
      <c r="AO27" s="263">
        <v>374</v>
      </c>
      <c r="AP27" s="263">
        <v>203</v>
      </c>
      <c r="AQ27" s="263">
        <v>171</v>
      </c>
      <c r="AR27" s="263">
        <v>1981</v>
      </c>
    </row>
    <row r="28" spans="1:45" x14ac:dyDescent="0.3">
      <c r="B28" s="266" t="s">
        <v>813</v>
      </c>
      <c r="C28" s="263">
        <v>84191</v>
      </c>
      <c r="D28" s="263">
        <v>876</v>
      </c>
      <c r="E28" s="263">
        <v>240</v>
      </c>
      <c r="F28" s="263">
        <v>10179</v>
      </c>
      <c r="G28" s="263">
        <v>2339</v>
      </c>
      <c r="H28" s="263">
        <v>7076</v>
      </c>
      <c r="I28" s="263">
        <v>102</v>
      </c>
      <c r="J28" s="263">
        <v>662</v>
      </c>
      <c r="K28" s="263">
        <v>21332</v>
      </c>
      <c r="L28" s="263">
        <v>2220</v>
      </c>
      <c r="M28" s="263">
        <v>19112</v>
      </c>
      <c r="N28" s="263">
        <v>354</v>
      </c>
      <c r="O28" s="263">
        <v>219</v>
      </c>
      <c r="P28" s="263">
        <v>135</v>
      </c>
      <c r="Q28" s="263">
        <v>986</v>
      </c>
      <c r="R28" s="263">
        <v>871</v>
      </c>
      <c r="S28" s="263">
        <v>0</v>
      </c>
      <c r="T28" s="263">
        <v>115</v>
      </c>
      <c r="U28" s="263">
        <v>0</v>
      </c>
      <c r="V28" s="263">
        <v>10140</v>
      </c>
      <c r="W28" s="263">
        <v>8566</v>
      </c>
      <c r="X28" s="263">
        <v>1574</v>
      </c>
      <c r="Y28" s="263">
        <v>6863</v>
      </c>
      <c r="Z28" s="263">
        <v>5507</v>
      </c>
      <c r="AA28" s="263">
        <v>2119</v>
      </c>
      <c r="AB28" s="263">
        <v>2249</v>
      </c>
      <c r="AC28" s="263">
        <v>1139</v>
      </c>
      <c r="AD28" s="263">
        <v>21950</v>
      </c>
      <c r="AE28" s="263">
        <v>1953</v>
      </c>
      <c r="AF28" s="263">
        <v>4471</v>
      </c>
      <c r="AG28" s="263">
        <v>3306</v>
      </c>
      <c r="AH28" s="263">
        <v>1165</v>
      </c>
      <c r="AI28" s="263">
        <v>15526</v>
      </c>
      <c r="AJ28" s="263">
        <v>1524</v>
      </c>
      <c r="AK28" s="263">
        <v>231</v>
      </c>
      <c r="AL28" s="263">
        <v>549</v>
      </c>
      <c r="AM28" s="263">
        <v>489</v>
      </c>
      <c r="AN28" s="263">
        <v>12733</v>
      </c>
      <c r="AO28" s="263">
        <v>3006</v>
      </c>
      <c r="AP28" s="263">
        <v>306</v>
      </c>
      <c r="AQ28" s="263">
        <v>2700</v>
      </c>
      <c r="AR28" s="263">
        <v>2758</v>
      </c>
    </row>
    <row r="29" spans="1:45" ht="15" thickBot="1" x14ac:dyDescent="0.35">
      <c r="B29" s="710" t="s">
        <v>415</v>
      </c>
      <c r="C29" s="709">
        <v>165698</v>
      </c>
      <c r="D29" s="709">
        <v>2003</v>
      </c>
      <c r="E29" s="709">
        <v>639</v>
      </c>
      <c r="F29" s="709">
        <v>21813</v>
      </c>
      <c r="G29" s="709">
        <v>4372</v>
      </c>
      <c r="H29" s="709">
        <v>15229</v>
      </c>
      <c r="I29" s="709">
        <v>737</v>
      </c>
      <c r="J29" s="709">
        <v>1475</v>
      </c>
      <c r="K29" s="709">
        <v>54940</v>
      </c>
      <c r="L29" s="709">
        <v>5721</v>
      </c>
      <c r="M29" s="709">
        <v>49219</v>
      </c>
      <c r="N29" s="709">
        <v>1620</v>
      </c>
      <c r="O29" s="709">
        <v>477</v>
      </c>
      <c r="P29" s="709">
        <v>1143</v>
      </c>
      <c r="Q29" s="709">
        <v>1763</v>
      </c>
      <c r="R29" s="709">
        <v>1573</v>
      </c>
      <c r="S29" s="709">
        <v>0</v>
      </c>
      <c r="T29" s="709">
        <v>190</v>
      </c>
      <c r="U29" s="709">
        <v>0</v>
      </c>
      <c r="V29" s="709">
        <v>15624</v>
      </c>
      <c r="W29" s="709">
        <v>13049</v>
      </c>
      <c r="X29" s="709">
        <v>2575</v>
      </c>
      <c r="Y29" s="709">
        <v>9728</v>
      </c>
      <c r="Z29" s="709">
        <v>12056</v>
      </c>
      <c r="AA29" s="709">
        <v>5098</v>
      </c>
      <c r="AB29" s="709">
        <v>5134</v>
      </c>
      <c r="AC29" s="709">
        <v>1824</v>
      </c>
      <c r="AD29" s="709">
        <v>37393</v>
      </c>
      <c r="AE29" s="709">
        <v>3044</v>
      </c>
      <c r="AF29" s="709">
        <v>9100</v>
      </c>
      <c r="AG29" s="709">
        <v>6412</v>
      </c>
      <c r="AH29" s="709">
        <v>2688</v>
      </c>
      <c r="AI29" s="709">
        <v>25249</v>
      </c>
      <c r="AJ29" s="709">
        <v>2281</v>
      </c>
      <c r="AK29" s="709">
        <v>977</v>
      </c>
      <c r="AL29" s="709">
        <v>784</v>
      </c>
      <c r="AM29" s="709">
        <v>855</v>
      </c>
      <c r="AN29" s="709">
        <v>20352</v>
      </c>
      <c r="AO29" s="709">
        <v>3380</v>
      </c>
      <c r="AP29" s="709">
        <v>509</v>
      </c>
      <c r="AQ29" s="709">
        <v>2871</v>
      </c>
      <c r="AR29" s="709">
        <v>4739</v>
      </c>
    </row>
    <row r="32" spans="1:45" ht="74.25" customHeight="1" x14ac:dyDescent="0.3">
      <c r="A32" s="706">
        <v>2016</v>
      </c>
      <c r="B32" s="706" t="s">
        <v>765</v>
      </c>
      <c r="C32" s="706" t="s">
        <v>766</v>
      </c>
      <c r="D32" s="706" t="s">
        <v>653</v>
      </c>
      <c r="E32" s="706" t="s">
        <v>767</v>
      </c>
      <c r="F32" s="707" t="s">
        <v>317</v>
      </c>
      <c r="G32" s="707" t="s">
        <v>768</v>
      </c>
      <c r="H32" s="707" t="s">
        <v>769</v>
      </c>
      <c r="I32" s="706" t="s">
        <v>770</v>
      </c>
      <c r="J32" s="706" t="s">
        <v>771</v>
      </c>
      <c r="K32" s="706" t="s">
        <v>138</v>
      </c>
      <c r="L32" s="707" t="s">
        <v>772</v>
      </c>
      <c r="M32" s="707" t="s">
        <v>773</v>
      </c>
      <c r="N32" s="707" t="s">
        <v>139</v>
      </c>
      <c r="O32" s="706" t="s">
        <v>774</v>
      </c>
      <c r="P32" s="706" t="s">
        <v>775</v>
      </c>
      <c r="Q32" s="706" t="s">
        <v>776</v>
      </c>
      <c r="R32" s="707" t="s">
        <v>777</v>
      </c>
      <c r="S32" s="707" t="s">
        <v>778</v>
      </c>
      <c r="T32" s="706" t="s">
        <v>779</v>
      </c>
      <c r="U32" s="706" t="s">
        <v>780</v>
      </c>
      <c r="V32" s="707" t="s">
        <v>781</v>
      </c>
      <c r="W32" s="706" t="s">
        <v>782</v>
      </c>
      <c r="X32" s="706" t="s">
        <v>783</v>
      </c>
      <c r="Y32" s="706" t="s">
        <v>320</v>
      </c>
      <c r="Z32" s="706" t="s">
        <v>784</v>
      </c>
      <c r="AA32" s="706" t="s">
        <v>785</v>
      </c>
      <c r="AB32" s="706" t="s">
        <v>786</v>
      </c>
      <c r="AC32" s="706" t="s">
        <v>787</v>
      </c>
      <c r="AD32" s="706" t="s">
        <v>788</v>
      </c>
      <c r="AE32" s="706" t="s">
        <v>789</v>
      </c>
      <c r="AF32" s="708" t="s">
        <v>790</v>
      </c>
      <c r="AG32" s="706" t="s">
        <v>791</v>
      </c>
      <c r="AH32" s="706" t="s">
        <v>792</v>
      </c>
      <c r="AI32" s="708" t="s">
        <v>793</v>
      </c>
      <c r="AJ32" s="706" t="s">
        <v>794</v>
      </c>
      <c r="AK32" s="706" t="s">
        <v>795</v>
      </c>
      <c r="AL32" s="706" t="s">
        <v>796</v>
      </c>
      <c r="AM32" s="706" t="s">
        <v>797</v>
      </c>
      <c r="AN32" s="706" t="s">
        <v>798</v>
      </c>
      <c r="AO32" s="706" t="s">
        <v>799</v>
      </c>
      <c r="AP32" s="706" t="s">
        <v>800</v>
      </c>
      <c r="AQ32" s="706" t="s">
        <v>801</v>
      </c>
      <c r="AR32" s="706" t="s">
        <v>802</v>
      </c>
      <c r="AS32" s="706"/>
    </row>
    <row r="33" spans="1:45" s="25" customFormat="1" ht="13.2" x14ac:dyDescent="0.25">
      <c r="B33" s="261" t="s">
        <v>803</v>
      </c>
      <c r="C33" s="707">
        <v>0</v>
      </c>
      <c r="D33" s="707">
        <v>1</v>
      </c>
      <c r="E33" s="707">
        <v>2</v>
      </c>
      <c r="F33" s="707">
        <v>3</v>
      </c>
      <c r="G33" s="707">
        <v>3.1</v>
      </c>
      <c r="H33" s="707">
        <v>3.2</v>
      </c>
      <c r="I33" s="707">
        <v>3.3</v>
      </c>
      <c r="J33" s="707">
        <v>3.4</v>
      </c>
      <c r="K33" s="707">
        <v>4</v>
      </c>
      <c r="L33" s="707">
        <v>4.0999999999999996</v>
      </c>
      <c r="M33" s="707">
        <v>4.2</v>
      </c>
      <c r="N33" s="707">
        <v>5</v>
      </c>
      <c r="O33" s="707">
        <v>5.0999999999999996</v>
      </c>
      <c r="P33" s="707">
        <v>5.2</v>
      </c>
      <c r="Q33" s="707">
        <v>6</v>
      </c>
      <c r="R33" s="707">
        <v>6.1</v>
      </c>
      <c r="S33" s="707">
        <v>6.2</v>
      </c>
      <c r="T33" s="707">
        <v>6.3</v>
      </c>
      <c r="U33" s="707">
        <v>6.4</v>
      </c>
      <c r="V33" s="707">
        <v>7</v>
      </c>
      <c r="W33" s="707">
        <v>7.1</v>
      </c>
      <c r="X33" s="707">
        <v>7.2</v>
      </c>
      <c r="Y33" s="707">
        <v>8</v>
      </c>
      <c r="Z33" s="707">
        <v>9</v>
      </c>
      <c r="AA33" s="707">
        <v>9.1</v>
      </c>
      <c r="AB33" s="707">
        <v>9.1999999999999993</v>
      </c>
      <c r="AC33" s="707">
        <v>9.3000000000000007</v>
      </c>
      <c r="AD33" s="707">
        <v>10</v>
      </c>
      <c r="AE33" s="707">
        <v>10.1</v>
      </c>
      <c r="AF33" s="707">
        <v>10.199999999999999</v>
      </c>
      <c r="AG33" s="707" t="s">
        <v>804</v>
      </c>
      <c r="AH33" s="707" t="s">
        <v>805</v>
      </c>
      <c r="AI33" s="707">
        <v>10.3</v>
      </c>
      <c r="AJ33" s="707" t="s">
        <v>806</v>
      </c>
      <c r="AK33" s="707" t="s">
        <v>807</v>
      </c>
      <c r="AL33" s="707" t="s">
        <v>808</v>
      </c>
      <c r="AM33" s="707" t="s">
        <v>809</v>
      </c>
      <c r="AN33" s="707" t="s">
        <v>810</v>
      </c>
      <c r="AO33" s="707">
        <v>11</v>
      </c>
      <c r="AP33" s="707">
        <v>11.1</v>
      </c>
      <c r="AQ33" s="707">
        <v>11.2</v>
      </c>
      <c r="AR33" s="707">
        <v>12</v>
      </c>
    </row>
    <row r="34" spans="1:45" s="25" customFormat="1" ht="13.2" x14ac:dyDescent="0.25">
      <c r="C34" s="707"/>
      <c r="D34" s="707"/>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row>
    <row r="35" spans="1:45" s="25" customFormat="1" ht="13.2" x14ac:dyDescent="0.25">
      <c r="B35" s="262" t="s">
        <v>811</v>
      </c>
    </row>
    <row r="36" spans="1:45" s="25" customFormat="1" ht="13.2" x14ac:dyDescent="0.25">
      <c r="B36" s="25" t="s">
        <v>812</v>
      </c>
      <c r="C36" s="263">
        <v>104034</v>
      </c>
      <c r="D36" s="263">
        <v>1133</v>
      </c>
      <c r="E36" s="263">
        <v>552</v>
      </c>
      <c r="F36" s="263">
        <v>12149</v>
      </c>
      <c r="G36" s="263">
        <v>2634</v>
      </c>
      <c r="H36" s="263">
        <v>8723</v>
      </c>
      <c r="I36" s="263">
        <v>35</v>
      </c>
      <c r="J36" s="263">
        <v>757</v>
      </c>
      <c r="K36" s="263">
        <v>16128</v>
      </c>
      <c r="L36" s="263">
        <v>3149</v>
      </c>
      <c r="M36" s="263">
        <v>12979</v>
      </c>
      <c r="N36" s="263">
        <v>1327</v>
      </c>
      <c r="O36" s="263">
        <v>1043</v>
      </c>
      <c r="P36" s="263">
        <v>284</v>
      </c>
      <c r="Q36" s="263">
        <v>4649</v>
      </c>
      <c r="R36" s="263">
        <v>4118</v>
      </c>
      <c r="S36" s="263">
        <v>87</v>
      </c>
      <c r="T36" s="263">
        <v>444</v>
      </c>
      <c r="U36" s="263">
        <v>0</v>
      </c>
      <c r="V36" s="263">
        <v>24179</v>
      </c>
      <c r="W36" s="263">
        <v>21093</v>
      </c>
      <c r="X36" s="263">
        <v>3086</v>
      </c>
      <c r="Y36" s="263">
        <v>5775</v>
      </c>
      <c r="Z36" s="263">
        <v>8739</v>
      </c>
      <c r="AA36" s="263">
        <v>3050</v>
      </c>
      <c r="AB36" s="263">
        <v>4718</v>
      </c>
      <c r="AC36" s="263">
        <v>971</v>
      </c>
      <c r="AD36" s="263">
        <v>27691</v>
      </c>
      <c r="AE36" s="263">
        <v>2164</v>
      </c>
      <c r="AF36" s="263">
        <v>11712</v>
      </c>
      <c r="AG36" s="263">
        <v>8399</v>
      </c>
      <c r="AH36" s="263">
        <v>3313</v>
      </c>
      <c r="AI36" s="263">
        <v>13815</v>
      </c>
      <c r="AJ36" s="263">
        <v>1871</v>
      </c>
      <c r="AK36" s="263">
        <v>189</v>
      </c>
      <c r="AL36" s="263">
        <v>99</v>
      </c>
      <c r="AM36" s="263">
        <v>1078</v>
      </c>
      <c r="AN36" s="263">
        <v>10578</v>
      </c>
      <c r="AO36" s="263">
        <v>1181</v>
      </c>
      <c r="AP36" s="263">
        <v>429</v>
      </c>
      <c r="AQ36" s="263">
        <v>752</v>
      </c>
      <c r="AR36" s="263">
        <v>531</v>
      </c>
    </row>
    <row r="37" spans="1:45" s="25" customFormat="1" ht="13.2" x14ac:dyDescent="0.25">
      <c r="B37" s="25" t="s">
        <v>813</v>
      </c>
      <c r="C37" s="25">
        <v>153854</v>
      </c>
      <c r="D37" s="25">
        <v>1303</v>
      </c>
      <c r="E37" s="25">
        <v>508</v>
      </c>
      <c r="F37" s="25">
        <v>15603</v>
      </c>
      <c r="G37" s="25">
        <v>5348</v>
      </c>
      <c r="H37" s="25">
        <v>7911</v>
      </c>
      <c r="I37" s="25">
        <v>1410</v>
      </c>
      <c r="J37" s="25">
        <v>934</v>
      </c>
      <c r="K37" s="25">
        <v>19353</v>
      </c>
      <c r="L37" s="25">
        <v>3782</v>
      </c>
      <c r="M37" s="25">
        <v>15571</v>
      </c>
      <c r="N37" s="25">
        <v>1202</v>
      </c>
      <c r="O37" s="25">
        <v>999</v>
      </c>
      <c r="P37" s="25">
        <v>203</v>
      </c>
      <c r="Q37" s="25">
        <v>14194</v>
      </c>
      <c r="R37" s="25">
        <v>11748</v>
      </c>
      <c r="S37" s="25">
        <v>497</v>
      </c>
      <c r="T37" s="25">
        <v>1949</v>
      </c>
      <c r="U37" s="25">
        <v>0</v>
      </c>
      <c r="V37" s="25">
        <v>31820</v>
      </c>
      <c r="W37" s="25">
        <v>26617</v>
      </c>
      <c r="X37" s="25">
        <v>5203</v>
      </c>
      <c r="Y37" s="25">
        <v>9404</v>
      </c>
      <c r="Z37" s="25">
        <v>10762</v>
      </c>
      <c r="AA37" s="25">
        <v>3310</v>
      </c>
      <c r="AB37" s="25">
        <v>4841</v>
      </c>
      <c r="AC37" s="25">
        <v>2611</v>
      </c>
      <c r="AD37" s="25">
        <v>45096</v>
      </c>
      <c r="AE37" s="25">
        <v>3973</v>
      </c>
      <c r="AF37" s="25">
        <v>14746</v>
      </c>
      <c r="AG37" s="25">
        <v>11985</v>
      </c>
      <c r="AH37" s="25">
        <v>2761</v>
      </c>
      <c r="AI37" s="25">
        <v>26377</v>
      </c>
      <c r="AJ37" s="25">
        <v>8541</v>
      </c>
      <c r="AK37" s="25">
        <v>411</v>
      </c>
      <c r="AL37" s="25">
        <v>482</v>
      </c>
      <c r="AM37" s="25">
        <v>1103</v>
      </c>
      <c r="AN37" s="25">
        <v>15840</v>
      </c>
      <c r="AO37" s="25">
        <v>2615</v>
      </c>
      <c r="AP37" s="25">
        <v>1200</v>
      </c>
      <c r="AQ37" s="25">
        <v>1415</v>
      </c>
      <c r="AR37" s="25">
        <v>1994</v>
      </c>
    </row>
    <row r="38" spans="1:45" s="25" customFormat="1" ht="13.8" thickBot="1" x14ac:dyDescent="0.3">
      <c r="B38" s="261" t="s">
        <v>415</v>
      </c>
      <c r="C38" s="709">
        <v>257888</v>
      </c>
      <c r="D38" s="709">
        <v>2436</v>
      </c>
      <c r="E38" s="709">
        <v>1060</v>
      </c>
      <c r="F38" s="709">
        <v>27752</v>
      </c>
      <c r="G38" s="709">
        <v>7982</v>
      </c>
      <c r="H38" s="709">
        <v>16634</v>
      </c>
      <c r="I38" s="709">
        <v>1445</v>
      </c>
      <c r="J38" s="709">
        <v>1691</v>
      </c>
      <c r="K38" s="709">
        <v>35481</v>
      </c>
      <c r="L38" s="709">
        <v>6931</v>
      </c>
      <c r="M38" s="709">
        <v>28550</v>
      </c>
      <c r="N38" s="709">
        <v>2529</v>
      </c>
      <c r="O38" s="709">
        <v>2042</v>
      </c>
      <c r="P38" s="709">
        <v>487</v>
      </c>
      <c r="Q38" s="709">
        <v>18843</v>
      </c>
      <c r="R38" s="709">
        <v>15866</v>
      </c>
      <c r="S38" s="709">
        <v>584</v>
      </c>
      <c r="T38" s="709">
        <v>2393</v>
      </c>
      <c r="U38" s="709">
        <v>0</v>
      </c>
      <c r="V38" s="709">
        <v>55999</v>
      </c>
      <c r="W38" s="709">
        <v>47710</v>
      </c>
      <c r="X38" s="709">
        <v>8289</v>
      </c>
      <c r="Y38" s="709">
        <v>15179</v>
      </c>
      <c r="Z38" s="709">
        <v>19501</v>
      </c>
      <c r="AA38" s="709">
        <v>6360</v>
      </c>
      <c r="AB38" s="709">
        <v>9559</v>
      </c>
      <c r="AC38" s="709">
        <v>3582</v>
      </c>
      <c r="AD38" s="709">
        <v>72787</v>
      </c>
      <c r="AE38" s="709">
        <v>6137</v>
      </c>
      <c r="AF38" s="709">
        <v>26458</v>
      </c>
      <c r="AG38" s="709">
        <v>20384</v>
      </c>
      <c r="AH38" s="709">
        <v>6074</v>
      </c>
      <c r="AI38" s="709">
        <v>40192</v>
      </c>
      <c r="AJ38" s="709">
        <v>10412</v>
      </c>
      <c r="AK38" s="709">
        <v>600</v>
      </c>
      <c r="AL38" s="709">
        <v>581</v>
      </c>
      <c r="AM38" s="709">
        <v>2181</v>
      </c>
      <c r="AN38" s="709">
        <v>26418</v>
      </c>
      <c r="AO38" s="709">
        <v>3796</v>
      </c>
      <c r="AP38" s="709">
        <v>1629</v>
      </c>
      <c r="AQ38" s="709">
        <v>2167</v>
      </c>
      <c r="AR38" s="709">
        <v>2525</v>
      </c>
    </row>
    <row r="41" spans="1:45" x14ac:dyDescent="0.3">
      <c r="B41" s="262" t="s">
        <v>814</v>
      </c>
    </row>
    <row r="42" spans="1:45" x14ac:dyDescent="0.3">
      <c r="B42" s="266" t="s">
        <v>812</v>
      </c>
      <c r="C42" s="263">
        <v>76966</v>
      </c>
      <c r="D42" s="263">
        <v>797</v>
      </c>
      <c r="E42" s="263">
        <v>322</v>
      </c>
      <c r="F42" s="263">
        <v>11598</v>
      </c>
      <c r="G42" s="263">
        <v>2319</v>
      </c>
      <c r="H42" s="263">
        <v>8003</v>
      </c>
      <c r="I42" s="263">
        <v>512</v>
      </c>
      <c r="J42" s="263">
        <v>764</v>
      </c>
      <c r="K42" s="263">
        <v>32119</v>
      </c>
      <c r="L42" s="263">
        <v>3721</v>
      </c>
      <c r="M42" s="263">
        <v>28398</v>
      </c>
      <c r="N42" s="263">
        <v>1013</v>
      </c>
      <c r="O42" s="263">
        <v>265</v>
      </c>
      <c r="P42" s="263">
        <v>748</v>
      </c>
      <c r="Q42" s="263">
        <v>419</v>
      </c>
      <c r="R42" s="263">
        <v>340</v>
      </c>
      <c r="S42" s="263">
        <v>0</v>
      </c>
      <c r="T42" s="263">
        <v>76</v>
      </c>
      <c r="U42" s="263">
        <v>3</v>
      </c>
      <c r="V42" s="263">
        <v>5799</v>
      </c>
      <c r="W42" s="263">
        <v>4823</v>
      </c>
      <c r="X42" s="263">
        <v>976</v>
      </c>
      <c r="Y42" s="263">
        <v>2789</v>
      </c>
      <c r="Z42" s="263">
        <v>6403</v>
      </c>
      <c r="AA42" s="263">
        <v>3238</v>
      </c>
      <c r="AB42" s="263">
        <v>2653</v>
      </c>
      <c r="AC42" s="263">
        <v>512</v>
      </c>
      <c r="AD42" s="263">
        <v>13913</v>
      </c>
      <c r="AE42" s="263">
        <v>880</v>
      </c>
      <c r="AF42" s="263">
        <v>4024</v>
      </c>
      <c r="AG42" s="263">
        <v>2647</v>
      </c>
      <c r="AH42" s="263">
        <v>1377</v>
      </c>
      <c r="AI42" s="263">
        <v>9009</v>
      </c>
      <c r="AJ42" s="263">
        <v>808</v>
      </c>
      <c r="AK42" s="263">
        <v>223</v>
      </c>
      <c r="AL42" s="263">
        <v>213</v>
      </c>
      <c r="AM42" s="263">
        <v>661</v>
      </c>
      <c r="AN42" s="263">
        <v>7104</v>
      </c>
      <c r="AO42" s="263">
        <v>355</v>
      </c>
      <c r="AP42" s="263">
        <v>236</v>
      </c>
      <c r="AQ42" s="263">
        <v>119</v>
      </c>
      <c r="AR42" s="263">
        <v>1439</v>
      </c>
    </row>
    <row r="43" spans="1:45" x14ac:dyDescent="0.3">
      <c r="B43" s="266" t="s">
        <v>813</v>
      </c>
      <c r="C43" s="263">
        <v>79157</v>
      </c>
      <c r="D43" s="263">
        <v>521</v>
      </c>
      <c r="E43" s="263">
        <v>193</v>
      </c>
      <c r="F43" s="263">
        <v>10314</v>
      </c>
      <c r="G43" s="263">
        <v>2790</v>
      </c>
      <c r="H43" s="263">
        <v>6801</v>
      </c>
      <c r="I43" s="263">
        <v>77</v>
      </c>
      <c r="J43" s="263">
        <v>646</v>
      </c>
      <c r="K43" s="263">
        <v>22080</v>
      </c>
      <c r="L43" s="263">
        <v>2556</v>
      </c>
      <c r="M43" s="263">
        <v>19524</v>
      </c>
      <c r="N43" s="263">
        <v>381</v>
      </c>
      <c r="O43" s="263">
        <v>216</v>
      </c>
      <c r="P43" s="263">
        <v>165</v>
      </c>
      <c r="Q43" s="263">
        <v>1082</v>
      </c>
      <c r="R43" s="263">
        <v>945</v>
      </c>
      <c r="S43" s="263">
        <v>0</v>
      </c>
      <c r="T43" s="263">
        <v>137</v>
      </c>
      <c r="U43" s="263">
        <v>0</v>
      </c>
      <c r="V43" s="263">
        <v>9343</v>
      </c>
      <c r="W43" s="263">
        <v>7931</v>
      </c>
      <c r="X43" s="263">
        <v>1412</v>
      </c>
      <c r="Y43" s="263">
        <v>5955</v>
      </c>
      <c r="Z43" s="263">
        <v>4890</v>
      </c>
      <c r="AA43" s="263">
        <v>1801</v>
      </c>
      <c r="AB43" s="263">
        <v>2236</v>
      </c>
      <c r="AC43" s="263">
        <v>853</v>
      </c>
      <c r="AD43" s="263">
        <v>19134</v>
      </c>
      <c r="AE43" s="263">
        <v>1537</v>
      </c>
      <c r="AF43" s="263">
        <v>4010</v>
      </c>
      <c r="AG43" s="263">
        <v>3011</v>
      </c>
      <c r="AH43" s="263">
        <v>999</v>
      </c>
      <c r="AI43" s="263">
        <v>13587</v>
      </c>
      <c r="AJ43" s="263">
        <v>897</v>
      </c>
      <c r="AK43" s="263">
        <v>152</v>
      </c>
      <c r="AL43" s="263">
        <v>1008</v>
      </c>
      <c r="AM43" s="263">
        <v>629</v>
      </c>
      <c r="AN43" s="263">
        <v>10901</v>
      </c>
      <c r="AO43" s="263">
        <v>2909</v>
      </c>
      <c r="AP43" s="263">
        <v>198</v>
      </c>
      <c r="AQ43" s="263">
        <v>2711</v>
      </c>
      <c r="AR43" s="263">
        <v>2355</v>
      </c>
    </row>
    <row r="44" spans="1:45" ht="15" thickBot="1" x14ac:dyDescent="0.35">
      <c r="B44" s="710" t="s">
        <v>415</v>
      </c>
      <c r="C44" s="709">
        <v>156123</v>
      </c>
      <c r="D44" s="709">
        <v>1318</v>
      </c>
      <c r="E44" s="709">
        <v>515</v>
      </c>
      <c r="F44" s="709">
        <v>21912</v>
      </c>
      <c r="G44" s="709">
        <v>5109</v>
      </c>
      <c r="H44" s="709">
        <v>14804</v>
      </c>
      <c r="I44" s="709">
        <v>589</v>
      </c>
      <c r="J44" s="709">
        <v>1410</v>
      </c>
      <c r="K44" s="709">
        <v>54199</v>
      </c>
      <c r="L44" s="709">
        <v>6277</v>
      </c>
      <c r="M44" s="709">
        <v>47922</v>
      </c>
      <c r="N44" s="709">
        <v>1394</v>
      </c>
      <c r="O44" s="709">
        <v>481</v>
      </c>
      <c r="P44" s="709">
        <v>913</v>
      </c>
      <c r="Q44" s="709">
        <v>1501</v>
      </c>
      <c r="R44" s="709">
        <v>1285</v>
      </c>
      <c r="S44" s="709">
        <v>0</v>
      </c>
      <c r="T44" s="709">
        <v>213</v>
      </c>
      <c r="U44" s="709">
        <v>3</v>
      </c>
      <c r="V44" s="709">
        <v>15142</v>
      </c>
      <c r="W44" s="709">
        <v>12754</v>
      </c>
      <c r="X44" s="709">
        <v>2388</v>
      </c>
      <c r="Y44" s="709">
        <v>8744</v>
      </c>
      <c r="Z44" s="709">
        <v>11293</v>
      </c>
      <c r="AA44" s="709">
        <v>5039</v>
      </c>
      <c r="AB44" s="709">
        <v>4889</v>
      </c>
      <c r="AC44" s="709">
        <v>1365</v>
      </c>
      <c r="AD44" s="709">
        <v>33047</v>
      </c>
      <c r="AE44" s="709">
        <v>2417</v>
      </c>
      <c r="AF44" s="709">
        <v>8034</v>
      </c>
      <c r="AG44" s="709">
        <v>5658</v>
      </c>
      <c r="AH44" s="709">
        <v>2376</v>
      </c>
      <c r="AI44" s="709">
        <v>22596</v>
      </c>
      <c r="AJ44" s="709">
        <v>1705</v>
      </c>
      <c r="AK44" s="709">
        <v>375</v>
      </c>
      <c r="AL44" s="709">
        <v>1221</v>
      </c>
      <c r="AM44" s="709">
        <v>1290</v>
      </c>
      <c r="AN44" s="709">
        <v>18005</v>
      </c>
      <c r="AO44" s="709">
        <v>3264</v>
      </c>
      <c r="AP44" s="709">
        <v>434</v>
      </c>
      <c r="AQ44" s="709">
        <v>2830</v>
      </c>
      <c r="AR44" s="709">
        <v>3794</v>
      </c>
    </row>
    <row r="46" spans="1:45" ht="74.25" customHeight="1" x14ac:dyDescent="0.3">
      <c r="A46" s="706">
        <v>2018</v>
      </c>
      <c r="B46" s="706" t="s">
        <v>765</v>
      </c>
      <c r="C46" s="706" t="s">
        <v>766</v>
      </c>
      <c r="D46" s="706" t="s">
        <v>653</v>
      </c>
      <c r="E46" s="706" t="s">
        <v>767</v>
      </c>
      <c r="F46" s="711" t="s">
        <v>317</v>
      </c>
      <c r="G46" s="707" t="s">
        <v>768</v>
      </c>
      <c r="H46" s="707" t="s">
        <v>769</v>
      </c>
      <c r="I46" s="706" t="s">
        <v>770</v>
      </c>
      <c r="J46" s="706" t="s">
        <v>771</v>
      </c>
      <c r="K46" s="712" t="s">
        <v>138</v>
      </c>
      <c r="L46" s="707" t="s">
        <v>772</v>
      </c>
      <c r="M46" s="707" t="s">
        <v>773</v>
      </c>
      <c r="N46" s="707" t="s">
        <v>139</v>
      </c>
      <c r="O46" s="706" t="s">
        <v>774</v>
      </c>
      <c r="P46" s="706" t="s">
        <v>775</v>
      </c>
      <c r="Q46" s="712" t="s">
        <v>776</v>
      </c>
      <c r="R46" s="707" t="s">
        <v>777</v>
      </c>
      <c r="S46" s="707" t="s">
        <v>778</v>
      </c>
      <c r="T46" s="706" t="s">
        <v>779</v>
      </c>
      <c r="U46" s="706" t="s">
        <v>780</v>
      </c>
      <c r="V46" s="711" t="s">
        <v>781</v>
      </c>
      <c r="W46" s="706" t="s">
        <v>782</v>
      </c>
      <c r="X46" s="706" t="s">
        <v>783</v>
      </c>
      <c r="Y46" s="712" t="s">
        <v>320</v>
      </c>
      <c r="Z46" s="712" t="s">
        <v>784</v>
      </c>
      <c r="AA46" s="706" t="s">
        <v>785</v>
      </c>
      <c r="AB46" s="706" t="s">
        <v>786</v>
      </c>
      <c r="AC46" s="706" t="s">
        <v>787</v>
      </c>
      <c r="AD46" s="706" t="s">
        <v>788</v>
      </c>
      <c r="AE46" s="706" t="s">
        <v>789</v>
      </c>
      <c r="AF46" s="713" t="s">
        <v>790</v>
      </c>
      <c r="AG46" s="706" t="s">
        <v>791</v>
      </c>
      <c r="AH46" s="706" t="s">
        <v>792</v>
      </c>
      <c r="AI46" s="713" t="s">
        <v>793</v>
      </c>
      <c r="AJ46" s="706" t="s">
        <v>794</v>
      </c>
      <c r="AK46" s="706" t="s">
        <v>795</v>
      </c>
      <c r="AL46" s="706" t="s">
        <v>796</v>
      </c>
      <c r="AM46" s="706" t="s">
        <v>797</v>
      </c>
      <c r="AN46" s="706" t="s">
        <v>798</v>
      </c>
      <c r="AO46" s="706" t="s">
        <v>799</v>
      </c>
      <c r="AP46" s="706" t="s">
        <v>800</v>
      </c>
      <c r="AQ46" s="706" t="s">
        <v>801</v>
      </c>
      <c r="AR46" s="706" t="s">
        <v>802</v>
      </c>
      <c r="AS46" s="706"/>
    </row>
    <row r="47" spans="1:45" s="25" customFormat="1" ht="13.2" x14ac:dyDescent="0.25">
      <c r="B47" s="261" t="s">
        <v>803</v>
      </c>
      <c r="C47" s="707">
        <v>0</v>
      </c>
      <c r="D47" s="707">
        <v>1</v>
      </c>
      <c r="E47" s="707">
        <v>2</v>
      </c>
      <c r="F47" s="711">
        <v>3</v>
      </c>
      <c r="G47" s="707">
        <v>3.1</v>
      </c>
      <c r="H47" s="707">
        <v>3.2</v>
      </c>
      <c r="I47" s="707">
        <v>3.3</v>
      </c>
      <c r="J47" s="707">
        <v>3.4</v>
      </c>
      <c r="K47" s="711">
        <v>4</v>
      </c>
      <c r="L47" s="707">
        <v>4.0999999999999996</v>
      </c>
      <c r="M47" s="707">
        <v>4.2</v>
      </c>
      <c r="N47" s="707">
        <v>5</v>
      </c>
      <c r="O47" s="707">
        <v>5.0999999999999996</v>
      </c>
      <c r="P47" s="707">
        <v>5.2</v>
      </c>
      <c r="Q47" s="711">
        <v>6</v>
      </c>
      <c r="R47" s="707">
        <v>6.1</v>
      </c>
      <c r="S47" s="707">
        <v>6.2</v>
      </c>
      <c r="T47" s="707">
        <v>6.3</v>
      </c>
      <c r="U47" s="707">
        <v>6.4</v>
      </c>
      <c r="V47" s="711">
        <v>7</v>
      </c>
      <c r="W47" s="707">
        <v>7.1</v>
      </c>
      <c r="X47" s="707">
        <v>7.2</v>
      </c>
      <c r="Y47" s="711">
        <v>8</v>
      </c>
      <c r="Z47" s="711">
        <v>9</v>
      </c>
      <c r="AA47" s="707">
        <v>9.1</v>
      </c>
      <c r="AB47" s="707">
        <v>9.1999999999999993</v>
      </c>
      <c r="AC47" s="707">
        <v>9.3000000000000007</v>
      </c>
      <c r="AD47" s="707">
        <v>10</v>
      </c>
      <c r="AE47" s="707">
        <v>10.1</v>
      </c>
      <c r="AF47" s="711">
        <v>10.199999999999999</v>
      </c>
      <c r="AG47" s="707" t="s">
        <v>804</v>
      </c>
      <c r="AH47" s="707" t="s">
        <v>805</v>
      </c>
      <c r="AI47" s="711">
        <v>10.3</v>
      </c>
      <c r="AJ47" s="707" t="s">
        <v>806</v>
      </c>
      <c r="AK47" s="707" t="s">
        <v>807</v>
      </c>
      <c r="AL47" s="707" t="s">
        <v>808</v>
      </c>
      <c r="AM47" s="707" t="s">
        <v>809</v>
      </c>
      <c r="AN47" s="707" t="s">
        <v>810</v>
      </c>
      <c r="AO47" s="707">
        <v>11</v>
      </c>
      <c r="AP47" s="707">
        <v>11.1</v>
      </c>
      <c r="AQ47" s="707">
        <v>11.2</v>
      </c>
      <c r="AR47" s="707">
        <v>12</v>
      </c>
    </row>
    <row r="48" spans="1:45" x14ac:dyDescent="0.3">
      <c r="B48" s="262" t="s">
        <v>811</v>
      </c>
      <c r="F48" s="714"/>
      <c r="K48" s="714"/>
      <c r="Q48" s="714"/>
      <c r="V48" s="714"/>
      <c r="Y48" s="714"/>
      <c r="Z48" s="714"/>
      <c r="AF48" s="714"/>
      <c r="AI48" s="714"/>
    </row>
    <row r="49" spans="1:44" s="25" customFormat="1" ht="13.2" x14ac:dyDescent="0.25">
      <c r="B49" s="25" t="s">
        <v>812</v>
      </c>
      <c r="C49" s="25">
        <v>116707</v>
      </c>
      <c r="D49" s="25">
        <v>2177</v>
      </c>
      <c r="E49" s="25">
        <v>741</v>
      </c>
      <c r="F49" s="25">
        <v>13091</v>
      </c>
      <c r="G49" s="25">
        <v>2695</v>
      </c>
      <c r="H49" s="25">
        <v>9638</v>
      </c>
      <c r="I49" s="25">
        <v>45</v>
      </c>
      <c r="J49" s="25">
        <v>713</v>
      </c>
      <c r="K49" s="25">
        <v>17123</v>
      </c>
      <c r="L49" s="25">
        <v>2441</v>
      </c>
      <c r="M49" s="25">
        <v>14682</v>
      </c>
      <c r="N49" s="25">
        <v>1013</v>
      </c>
      <c r="O49" s="25">
        <v>861</v>
      </c>
      <c r="P49" s="25">
        <v>152</v>
      </c>
      <c r="Q49" s="25">
        <v>6304</v>
      </c>
      <c r="R49" s="25">
        <v>5707</v>
      </c>
      <c r="S49" s="25">
        <v>79</v>
      </c>
      <c r="T49" s="25">
        <v>518</v>
      </c>
      <c r="U49" s="25">
        <v>0</v>
      </c>
      <c r="V49" s="25">
        <v>26741</v>
      </c>
      <c r="W49" s="25">
        <v>22659</v>
      </c>
      <c r="X49" s="25">
        <v>4082</v>
      </c>
      <c r="Y49" s="25">
        <v>6025</v>
      </c>
      <c r="Z49" s="25">
        <v>9234</v>
      </c>
      <c r="AA49" s="25">
        <v>2593</v>
      </c>
      <c r="AB49" s="25">
        <v>5571</v>
      </c>
      <c r="AC49" s="25">
        <v>1070</v>
      </c>
      <c r="AD49" s="25">
        <v>32163</v>
      </c>
      <c r="AE49" s="25">
        <v>2320</v>
      </c>
      <c r="AF49" s="25">
        <v>12955</v>
      </c>
      <c r="AG49" s="25">
        <v>8326</v>
      </c>
      <c r="AH49" s="25">
        <v>4629</v>
      </c>
      <c r="AI49" s="25">
        <v>16888</v>
      </c>
      <c r="AJ49" s="25">
        <v>1962</v>
      </c>
      <c r="AK49" s="25">
        <v>49</v>
      </c>
      <c r="AL49" s="25">
        <v>58</v>
      </c>
      <c r="AM49" s="25">
        <v>912</v>
      </c>
      <c r="AN49" s="25">
        <v>13907</v>
      </c>
      <c r="AO49" s="25">
        <v>1582</v>
      </c>
      <c r="AP49" s="25">
        <v>896</v>
      </c>
      <c r="AQ49" s="25">
        <v>686</v>
      </c>
      <c r="AR49" s="25">
        <v>513</v>
      </c>
    </row>
    <row r="50" spans="1:44" s="25" customFormat="1" ht="13.2" x14ac:dyDescent="0.25">
      <c r="B50" s="25" t="s">
        <v>813</v>
      </c>
      <c r="C50" s="25">
        <v>166704</v>
      </c>
      <c r="D50" s="25">
        <v>720</v>
      </c>
      <c r="E50" s="25">
        <v>637</v>
      </c>
      <c r="F50" s="25">
        <v>17128</v>
      </c>
      <c r="G50" s="25">
        <v>5439</v>
      </c>
      <c r="H50" s="25">
        <v>9131</v>
      </c>
      <c r="I50" s="25">
        <v>1504</v>
      </c>
      <c r="J50" s="25">
        <v>1054</v>
      </c>
      <c r="K50" s="25">
        <v>21767</v>
      </c>
      <c r="L50" s="25">
        <v>3104</v>
      </c>
      <c r="M50" s="25">
        <v>18663</v>
      </c>
      <c r="N50" s="25">
        <v>1375</v>
      </c>
      <c r="O50" s="25">
        <v>1155</v>
      </c>
      <c r="P50" s="25">
        <v>220</v>
      </c>
      <c r="Q50" s="25">
        <v>13309</v>
      </c>
      <c r="R50" s="25">
        <v>10213</v>
      </c>
      <c r="S50" s="25">
        <v>454</v>
      </c>
      <c r="T50" s="25">
        <v>2429</v>
      </c>
      <c r="U50" s="25">
        <v>213</v>
      </c>
      <c r="V50" s="25">
        <v>34670</v>
      </c>
      <c r="W50" s="25">
        <v>27789</v>
      </c>
      <c r="X50" s="25">
        <v>6881</v>
      </c>
      <c r="Y50" s="25">
        <v>11049</v>
      </c>
      <c r="Z50" s="25">
        <v>11544</v>
      </c>
      <c r="AA50" s="25">
        <v>3133</v>
      </c>
      <c r="AB50" s="25">
        <v>5050</v>
      </c>
      <c r="AC50" s="25">
        <v>3361</v>
      </c>
      <c r="AD50" s="25">
        <v>49153</v>
      </c>
      <c r="AE50" s="25">
        <v>5615</v>
      </c>
      <c r="AF50" s="25">
        <v>19653</v>
      </c>
      <c r="AG50" s="25">
        <v>17114</v>
      </c>
      <c r="AH50" s="25">
        <v>2539</v>
      </c>
      <c r="AI50" s="25">
        <v>23885</v>
      </c>
      <c r="AJ50" s="25">
        <v>8874</v>
      </c>
      <c r="AK50" s="25">
        <v>262</v>
      </c>
      <c r="AL50" s="25">
        <v>292</v>
      </c>
      <c r="AM50" s="25">
        <v>1069</v>
      </c>
      <c r="AN50" s="25">
        <v>13388</v>
      </c>
      <c r="AO50" s="25">
        <v>3325</v>
      </c>
      <c r="AP50" s="25">
        <v>2159</v>
      </c>
      <c r="AQ50" s="25">
        <v>1166</v>
      </c>
      <c r="AR50" s="25">
        <v>2027</v>
      </c>
    </row>
    <row r="51" spans="1:44" s="25" customFormat="1" ht="13.8" thickBot="1" x14ac:dyDescent="0.3">
      <c r="B51" s="261" t="s">
        <v>415</v>
      </c>
      <c r="C51" s="709">
        <v>283411</v>
      </c>
      <c r="D51" s="709">
        <v>2897</v>
      </c>
      <c r="E51" s="709">
        <v>1378</v>
      </c>
      <c r="F51" s="709">
        <v>30219</v>
      </c>
      <c r="G51" s="709">
        <v>8134</v>
      </c>
      <c r="H51" s="709">
        <v>18769</v>
      </c>
      <c r="I51" s="709">
        <v>1549</v>
      </c>
      <c r="J51" s="709">
        <v>1767</v>
      </c>
      <c r="K51" s="709">
        <v>38890</v>
      </c>
      <c r="L51" s="709">
        <v>5545</v>
      </c>
      <c r="M51" s="709">
        <v>33345</v>
      </c>
      <c r="N51" s="709">
        <v>2388</v>
      </c>
      <c r="O51" s="709">
        <v>2016</v>
      </c>
      <c r="P51" s="709">
        <v>372</v>
      </c>
      <c r="Q51" s="709">
        <v>19613</v>
      </c>
      <c r="R51" s="709">
        <v>15920</v>
      </c>
      <c r="S51" s="709">
        <v>533</v>
      </c>
      <c r="T51" s="709">
        <v>2947</v>
      </c>
      <c r="U51" s="709">
        <v>213</v>
      </c>
      <c r="V51" s="709">
        <v>61411</v>
      </c>
      <c r="W51" s="709">
        <v>50448</v>
      </c>
      <c r="X51" s="709">
        <v>10963</v>
      </c>
      <c r="Y51" s="709">
        <v>17074</v>
      </c>
      <c r="Z51" s="709">
        <v>20778</v>
      </c>
      <c r="AA51" s="709">
        <v>5726</v>
      </c>
      <c r="AB51" s="709">
        <v>10621</v>
      </c>
      <c r="AC51" s="709">
        <v>4431</v>
      </c>
      <c r="AD51" s="709">
        <v>81316</v>
      </c>
      <c r="AE51" s="709">
        <v>7935</v>
      </c>
      <c r="AF51" s="709">
        <v>32608</v>
      </c>
      <c r="AG51" s="709">
        <v>25440</v>
      </c>
      <c r="AH51" s="709">
        <v>7168</v>
      </c>
      <c r="AI51" s="709">
        <v>40773</v>
      </c>
      <c r="AJ51" s="709">
        <v>10836</v>
      </c>
      <c r="AK51" s="709">
        <v>311</v>
      </c>
      <c r="AL51" s="709">
        <v>350</v>
      </c>
      <c r="AM51" s="709">
        <v>1981</v>
      </c>
      <c r="AN51" s="709">
        <v>27295</v>
      </c>
      <c r="AO51" s="709">
        <v>4907</v>
      </c>
      <c r="AP51" s="709">
        <v>3055</v>
      </c>
      <c r="AQ51" s="709">
        <v>1852</v>
      </c>
      <c r="AR51" s="709">
        <v>2540</v>
      </c>
    </row>
    <row r="52" spans="1:44" x14ac:dyDescent="0.3">
      <c r="C52" s="465">
        <f>D51+E51+F51+K51+N51+Q51+V51+Y51+Z51+AD51+AO51+AR51</f>
        <v>283411</v>
      </c>
    </row>
    <row r="54" spans="1:44" x14ac:dyDescent="0.3">
      <c r="B54" s="262" t="s">
        <v>814</v>
      </c>
    </row>
    <row r="55" spans="1:44" x14ac:dyDescent="0.3">
      <c r="B55" s="266" t="s">
        <v>812</v>
      </c>
      <c r="C55" s="263">
        <v>87303</v>
      </c>
      <c r="D55" s="263">
        <v>641</v>
      </c>
      <c r="E55" s="263">
        <v>463</v>
      </c>
      <c r="F55" s="263">
        <v>12711</v>
      </c>
      <c r="G55" s="263">
        <v>2057</v>
      </c>
      <c r="H55" s="263">
        <v>9266</v>
      </c>
      <c r="I55" s="263">
        <v>496</v>
      </c>
      <c r="J55" s="263">
        <v>892</v>
      </c>
      <c r="K55" s="263">
        <v>34768</v>
      </c>
      <c r="L55" s="263">
        <v>3622</v>
      </c>
      <c r="M55" s="263">
        <v>31146</v>
      </c>
      <c r="N55" s="263">
        <v>1244</v>
      </c>
      <c r="O55" s="263">
        <v>405</v>
      </c>
      <c r="P55" s="263">
        <v>839</v>
      </c>
      <c r="Q55" s="263">
        <v>800</v>
      </c>
      <c r="R55" s="263">
        <v>686</v>
      </c>
      <c r="S55" s="263">
        <v>0</v>
      </c>
      <c r="T55" s="263">
        <v>111</v>
      </c>
      <c r="U55" s="263">
        <v>3</v>
      </c>
      <c r="V55" s="263">
        <v>6321</v>
      </c>
      <c r="W55" s="263">
        <v>5063</v>
      </c>
      <c r="X55" s="263">
        <v>1258</v>
      </c>
      <c r="Y55" s="263">
        <v>3387</v>
      </c>
      <c r="Z55" s="263">
        <v>7222</v>
      </c>
      <c r="AA55" s="263">
        <v>3547</v>
      </c>
      <c r="AB55" s="263">
        <v>2992</v>
      </c>
      <c r="AC55" s="263">
        <v>683</v>
      </c>
      <c r="AD55" s="263">
        <v>17540</v>
      </c>
      <c r="AE55" s="263">
        <v>1193</v>
      </c>
      <c r="AF55" s="263">
        <v>4441</v>
      </c>
      <c r="AG55" s="263">
        <v>2719</v>
      </c>
      <c r="AH55" s="263">
        <v>1722</v>
      </c>
      <c r="AI55" s="263">
        <v>11906</v>
      </c>
      <c r="AJ55" s="263">
        <v>1367</v>
      </c>
      <c r="AK55" s="263">
        <v>413</v>
      </c>
      <c r="AL55" s="263">
        <v>287</v>
      </c>
      <c r="AM55" s="263">
        <v>602</v>
      </c>
      <c r="AN55" s="263">
        <v>9237</v>
      </c>
      <c r="AO55" s="263">
        <v>461</v>
      </c>
      <c r="AP55" s="263">
        <v>373</v>
      </c>
      <c r="AQ55" s="263">
        <v>88</v>
      </c>
      <c r="AR55" s="263">
        <v>1745</v>
      </c>
    </row>
    <row r="56" spans="1:44" x14ac:dyDescent="0.3">
      <c r="B56" s="266" t="s">
        <v>813</v>
      </c>
      <c r="C56" s="263">
        <v>88984</v>
      </c>
      <c r="D56" s="263">
        <v>284</v>
      </c>
      <c r="E56" s="263">
        <v>408</v>
      </c>
      <c r="F56" s="263">
        <v>11198</v>
      </c>
      <c r="G56" s="263">
        <v>2392</v>
      </c>
      <c r="H56" s="263">
        <v>8061</v>
      </c>
      <c r="I56" s="263">
        <v>56</v>
      </c>
      <c r="J56" s="263">
        <v>689</v>
      </c>
      <c r="K56" s="263">
        <v>22064</v>
      </c>
      <c r="L56" s="263">
        <v>2299</v>
      </c>
      <c r="M56" s="263">
        <v>19765</v>
      </c>
      <c r="N56" s="263">
        <v>716</v>
      </c>
      <c r="O56" s="263">
        <v>610</v>
      </c>
      <c r="P56" s="263">
        <v>106</v>
      </c>
      <c r="Q56" s="263">
        <v>977</v>
      </c>
      <c r="R56" s="263">
        <v>829</v>
      </c>
      <c r="S56" s="263">
        <v>0</v>
      </c>
      <c r="T56" s="263">
        <v>148</v>
      </c>
      <c r="U56" s="263">
        <v>0</v>
      </c>
      <c r="V56" s="263">
        <v>12121</v>
      </c>
      <c r="W56" s="263">
        <v>10517</v>
      </c>
      <c r="X56" s="263">
        <v>1604</v>
      </c>
      <c r="Y56" s="263">
        <v>6630</v>
      </c>
      <c r="Z56" s="263">
        <v>5643</v>
      </c>
      <c r="AA56" s="263">
        <v>2163</v>
      </c>
      <c r="AB56" s="263">
        <v>2780</v>
      </c>
      <c r="AC56" s="263">
        <v>700</v>
      </c>
      <c r="AD56" s="263">
        <v>23265</v>
      </c>
      <c r="AE56" s="263">
        <v>1936</v>
      </c>
      <c r="AF56" s="263">
        <v>4898</v>
      </c>
      <c r="AG56" s="263">
        <v>3708</v>
      </c>
      <c r="AH56" s="263">
        <v>1190</v>
      </c>
      <c r="AI56" s="263">
        <v>16431</v>
      </c>
      <c r="AJ56" s="263">
        <v>1563</v>
      </c>
      <c r="AK56" s="263">
        <v>221</v>
      </c>
      <c r="AL56" s="263">
        <v>693</v>
      </c>
      <c r="AM56" s="263">
        <v>635</v>
      </c>
      <c r="AN56" s="263">
        <v>13319</v>
      </c>
      <c r="AO56" s="263">
        <v>2954</v>
      </c>
      <c r="AP56" s="263">
        <v>244</v>
      </c>
      <c r="AQ56" s="263">
        <v>2710</v>
      </c>
      <c r="AR56" s="263">
        <v>2724</v>
      </c>
    </row>
    <row r="57" spans="1:44" ht="15" thickBot="1" x14ac:dyDescent="0.35">
      <c r="B57" s="710" t="s">
        <v>415</v>
      </c>
      <c r="C57" s="709">
        <v>176287</v>
      </c>
      <c r="D57" s="709">
        <v>925</v>
      </c>
      <c r="E57" s="709">
        <v>871</v>
      </c>
      <c r="F57" s="709">
        <v>23909</v>
      </c>
      <c r="G57" s="709">
        <v>4449</v>
      </c>
      <c r="H57" s="709">
        <v>17327</v>
      </c>
      <c r="I57" s="709">
        <v>552</v>
      </c>
      <c r="J57" s="709">
        <v>1581</v>
      </c>
      <c r="K57" s="709">
        <v>56832</v>
      </c>
      <c r="L57" s="709">
        <v>5921</v>
      </c>
      <c r="M57" s="709">
        <v>50911</v>
      </c>
      <c r="N57" s="709">
        <v>1960</v>
      </c>
      <c r="O57" s="709">
        <v>1015</v>
      </c>
      <c r="P57" s="709">
        <v>945</v>
      </c>
      <c r="Q57" s="709">
        <v>1777</v>
      </c>
      <c r="R57" s="709">
        <v>1515</v>
      </c>
      <c r="S57" s="709">
        <v>0</v>
      </c>
      <c r="T57" s="709">
        <v>259</v>
      </c>
      <c r="U57" s="709">
        <v>3</v>
      </c>
      <c r="V57" s="709">
        <v>18442</v>
      </c>
      <c r="W57" s="709">
        <v>15580</v>
      </c>
      <c r="X57" s="709">
        <v>2862</v>
      </c>
      <c r="Y57" s="709">
        <v>10017</v>
      </c>
      <c r="Z57" s="709">
        <v>12865</v>
      </c>
      <c r="AA57" s="709">
        <v>5710</v>
      </c>
      <c r="AB57" s="709">
        <v>5772</v>
      </c>
      <c r="AC57" s="709">
        <v>1383</v>
      </c>
      <c r="AD57" s="709">
        <v>40805</v>
      </c>
      <c r="AE57" s="709">
        <v>3129</v>
      </c>
      <c r="AF57" s="709">
        <v>9339</v>
      </c>
      <c r="AG57" s="709">
        <v>6427</v>
      </c>
      <c r="AH57" s="709">
        <v>2912</v>
      </c>
      <c r="AI57" s="709">
        <v>28337</v>
      </c>
      <c r="AJ57" s="709">
        <v>2930</v>
      </c>
      <c r="AK57" s="709">
        <v>634</v>
      </c>
      <c r="AL57" s="709">
        <v>980</v>
      </c>
      <c r="AM57" s="709">
        <v>1237</v>
      </c>
      <c r="AN57" s="709">
        <v>22556</v>
      </c>
      <c r="AO57" s="709">
        <v>3415</v>
      </c>
      <c r="AP57" s="709">
        <v>617</v>
      </c>
      <c r="AQ57" s="709">
        <v>2798</v>
      </c>
      <c r="AR57" s="709">
        <v>4469</v>
      </c>
    </row>
    <row r="60" spans="1:44" s="563" customFormat="1" ht="36" customHeight="1" x14ac:dyDescent="0.4">
      <c r="A60" s="563" t="s">
        <v>815</v>
      </c>
    </row>
    <row r="61" spans="1:44" x14ac:dyDescent="0.3">
      <c r="B61" s="465" t="s">
        <v>816</v>
      </c>
      <c r="C61" s="465">
        <v>1</v>
      </c>
      <c r="D61" s="465">
        <v>2</v>
      </c>
      <c r="E61" s="465">
        <v>3</v>
      </c>
      <c r="F61" s="465">
        <v>4</v>
      </c>
      <c r="G61" s="465">
        <v>5</v>
      </c>
      <c r="H61" s="465">
        <v>6</v>
      </c>
      <c r="I61" s="465">
        <v>7</v>
      </c>
      <c r="J61" s="465">
        <v>8</v>
      </c>
      <c r="N61" s="465" t="s">
        <v>817</v>
      </c>
      <c r="O61" s="465" t="s">
        <v>818</v>
      </c>
      <c r="P61" s="70" t="s">
        <v>834</v>
      </c>
      <c r="Q61" s="465" t="s">
        <v>835</v>
      </c>
      <c r="R61" s="465" t="s">
        <v>819</v>
      </c>
      <c r="S61" s="70" t="s">
        <v>832</v>
      </c>
    </row>
    <row r="62" spans="1:44" s="238" customFormat="1" ht="72" x14ac:dyDescent="0.3">
      <c r="C62" s="238" t="s">
        <v>781</v>
      </c>
      <c r="D62" s="238" t="s">
        <v>820</v>
      </c>
      <c r="E62" s="238" t="s">
        <v>138</v>
      </c>
      <c r="F62" s="238" t="s">
        <v>825</v>
      </c>
      <c r="G62" s="238" t="s">
        <v>821</v>
      </c>
      <c r="H62" s="238" t="s">
        <v>822</v>
      </c>
      <c r="I62" s="238" t="s">
        <v>776</v>
      </c>
      <c r="J62" s="238" t="s">
        <v>823</v>
      </c>
      <c r="K62" s="238" t="s">
        <v>817</v>
      </c>
      <c r="M62" s="238" t="s">
        <v>824</v>
      </c>
      <c r="O62" s="715"/>
      <c r="R62" s="715"/>
    </row>
    <row r="63" spans="1:44" x14ac:dyDescent="0.3">
      <c r="A63" s="465" t="s">
        <v>96</v>
      </c>
      <c r="B63" s="25" t="s">
        <v>812</v>
      </c>
      <c r="C63" s="48">
        <f>V49/1000</f>
        <v>26.741</v>
      </c>
      <c r="D63" s="48">
        <f>AI49/1000</f>
        <v>16.888000000000002</v>
      </c>
      <c r="E63" s="48">
        <f>K49/1000</f>
        <v>17.123000000000001</v>
      </c>
      <c r="F63" s="48">
        <f>AF49/1000</f>
        <v>12.955</v>
      </c>
      <c r="G63" s="48">
        <f>F49/1000</f>
        <v>13.090999999999999</v>
      </c>
      <c r="H63" s="48">
        <f>Z49/1000</f>
        <v>9.234</v>
      </c>
      <c r="I63" s="48">
        <f>Q49/1000</f>
        <v>6.3040000000000003</v>
      </c>
      <c r="J63" s="48">
        <f>Y49/1000</f>
        <v>6.0250000000000004</v>
      </c>
      <c r="K63" s="48">
        <f>O63</f>
        <v>8.3460000000000001</v>
      </c>
      <c r="L63" s="48"/>
      <c r="M63" s="48">
        <f>(D49+E49+N49+AO49+AR49)/1000</f>
        <v>6.0259999999999998</v>
      </c>
      <c r="N63" s="48">
        <f>(AD49-(AF49+AI49))/1000</f>
        <v>2.3199999999999998</v>
      </c>
      <c r="O63" s="70">
        <f>M63+N63</f>
        <v>8.3460000000000001</v>
      </c>
      <c r="P63" s="465">
        <f>SUM(C63:J63)</f>
        <v>108.361</v>
      </c>
      <c r="Q63" s="465">
        <f>O63+P63</f>
        <v>116.70700000000001</v>
      </c>
      <c r="R63" s="70">
        <f>C49</f>
        <v>116707</v>
      </c>
    </row>
    <row r="64" spans="1:44" x14ac:dyDescent="0.3">
      <c r="B64" s="25" t="s">
        <v>813</v>
      </c>
      <c r="C64" s="465">
        <f>V50/1000</f>
        <v>34.67</v>
      </c>
      <c r="D64" s="48">
        <f>AI50/1000</f>
        <v>23.885000000000002</v>
      </c>
      <c r="E64" s="465">
        <f>K50/1000</f>
        <v>21.766999999999999</v>
      </c>
      <c r="F64" s="48">
        <f>AF50/1000</f>
        <v>19.652999999999999</v>
      </c>
      <c r="G64" s="465">
        <f>F50/1000</f>
        <v>17.128</v>
      </c>
      <c r="H64" s="465">
        <f>Z50/1000</f>
        <v>11.544</v>
      </c>
      <c r="I64" s="465">
        <f>Q50/1000</f>
        <v>13.308999999999999</v>
      </c>
      <c r="J64" s="465">
        <f>Y50/1000</f>
        <v>11.048999999999999</v>
      </c>
      <c r="K64" s="48">
        <f>O64</f>
        <v>13.699</v>
      </c>
      <c r="M64" s="48">
        <f>(D50+E50+N50+AO50+AR50)/1000</f>
        <v>8.0839999999999996</v>
      </c>
      <c r="N64" s="48">
        <f>(AD50-(AF50+AI50))/1000</f>
        <v>5.6150000000000002</v>
      </c>
      <c r="O64" s="70">
        <f t="shared" ref="O64:O69" si="0">M64+N64</f>
        <v>13.699</v>
      </c>
      <c r="P64" s="465">
        <f>SUM(C64:J64)</f>
        <v>153.005</v>
      </c>
      <c r="Q64" s="465">
        <f>O64+P64</f>
        <v>166.70400000000001</v>
      </c>
      <c r="R64" s="70">
        <f>C50</f>
        <v>166704</v>
      </c>
    </row>
    <row r="65" spans="1:19" x14ac:dyDescent="0.3">
      <c r="B65" s="261" t="s">
        <v>415</v>
      </c>
      <c r="C65" s="48">
        <f>V51/1000</f>
        <v>61.411000000000001</v>
      </c>
      <c r="D65" s="48">
        <f>AI51/1000</f>
        <v>40.773000000000003</v>
      </c>
      <c r="E65" s="48">
        <f>K51/1000</f>
        <v>38.89</v>
      </c>
      <c r="F65" s="48">
        <f>AF51/1000</f>
        <v>32.607999999999997</v>
      </c>
      <c r="G65" s="48">
        <f>F51/1000</f>
        <v>30.219000000000001</v>
      </c>
      <c r="H65" s="48">
        <f>Z51/1000</f>
        <v>20.777999999999999</v>
      </c>
      <c r="I65" s="48">
        <f>Q51/1000</f>
        <v>19.613</v>
      </c>
      <c r="J65" s="48">
        <f>Y51/1000</f>
        <v>17.074000000000002</v>
      </c>
      <c r="K65" s="48">
        <f>O65</f>
        <v>22.044999999999998</v>
      </c>
      <c r="L65" s="48"/>
      <c r="M65" s="48">
        <f>(D51+E51+N51+AO51+AR51)/1000</f>
        <v>14.11</v>
      </c>
      <c r="N65" s="48">
        <f>(AD51-(AF51+AI51))/1000</f>
        <v>7.9349999999999996</v>
      </c>
      <c r="O65" s="70">
        <f t="shared" si="0"/>
        <v>22.044999999999998</v>
      </c>
      <c r="P65" s="465">
        <f>SUM(C65:J65)</f>
        <v>261.36599999999999</v>
      </c>
      <c r="Q65" s="465">
        <f>O65+P65</f>
        <v>283.411</v>
      </c>
      <c r="R65" s="70">
        <f>C51</f>
        <v>283411</v>
      </c>
      <c r="S65" s="465">
        <f>R63+R64</f>
        <v>283411</v>
      </c>
    </row>
    <row r="66" spans="1:19" x14ac:dyDescent="0.3">
      <c r="K66" s="48"/>
      <c r="R66" s="70"/>
    </row>
    <row r="67" spans="1:19" x14ac:dyDescent="0.3">
      <c r="A67" s="465" t="s">
        <v>86</v>
      </c>
      <c r="B67" s="266" t="s">
        <v>812</v>
      </c>
      <c r="C67" s="48">
        <f>V55/1000</f>
        <v>6.3209999999999997</v>
      </c>
      <c r="D67" s="48">
        <f>AI55/1000</f>
        <v>11.906000000000001</v>
      </c>
      <c r="E67" s="48">
        <f>K55/1000</f>
        <v>34.768000000000001</v>
      </c>
      <c r="F67" s="48">
        <f>AF55/1000</f>
        <v>4.4409999999999998</v>
      </c>
      <c r="G67" s="48">
        <f>F55/1000</f>
        <v>12.711</v>
      </c>
      <c r="H67" s="48">
        <f>Z55/1000</f>
        <v>7.2220000000000004</v>
      </c>
      <c r="I67" s="48">
        <f>Q55/1000</f>
        <v>0.8</v>
      </c>
      <c r="J67" s="48">
        <f>Y55/1000</f>
        <v>3.387</v>
      </c>
      <c r="K67" s="48">
        <f>O67</f>
        <v>5.7469999999999999</v>
      </c>
      <c r="L67" s="48"/>
      <c r="M67" s="48">
        <f>(D55+E55+N55+AO55+AR55)/1000</f>
        <v>4.5540000000000003</v>
      </c>
      <c r="N67" s="48">
        <f>(AD55-(AF55+AI55))/1000</f>
        <v>1.1930000000000001</v>
      </c>
      <c r="O67" s="70">
        <f t="shared" si="0"/>
        <v>5.7469999999999999</v>
      </c>
      <c r="P67" s="465">
        <f>SUM(C67:J67)</f>
        <v>81.555999999999997</v>
      </c>
      <c r="Q67" s="465">
        <f>O67+P67</f>
        <v>87.302999999999997</v>
      </c>
      <c r="R67" s="70">
        <f>C55</f>
        <v>87303</v>
      </c>
    </row>
    <row r="68" spans="1:19" x14ac:dyDescent="0.3">
      <c r="B68" s="266" t="s">
        <v>813</v>
      </c>
      <c r="C68" s="465">
        <f>V56/1000</f>
        <v>12.121</v>
      </c>
      <c r="D68" s="48">
        <f>AI56/1000</f>
        <v>16.431000000000001</v>
      </c>
      <c r="E68" s="465">
        <f>K56/1000</f>
        <v>22.064</v>
      </c>
      <c r="F68" s="48">
        <f>AF56/1000</f>
        <v>4.8979999999999997</v>
      </c>
      <c r="G68" s="465">
        <f>F56/1000</f>
        <v>11.198</v>
      </c>
      <c r="H68" s="465">
        <f>Z56/1000</f>
        <v>5.6429999999999998</v>
      </c>
      <c r="I68" s="465">
        <f>Q56/1000</f>
        <v>0.97699999999999998</v>
      </c>
      <c r="J68" s="465">
        <f>Y56/1000</f>
        <v>6.63</v>
      </c>
      <c r="K68" s="48">
        <f>O68</f>
        <v>9.0220000000000002</v>
      </c>
      <c r="M68" s="48">
        <f>(D56+E56+N56+AO56+AR56)/1000</f>
        <v>7.0860000000000003</v>
      </c>
      <c r="N68" s="48">
        <f>(AD56-(AF56+AI56))/1000</f>
        <v>1.9359999999999999</v>
      </c>
      <c r="O68" s="70">
        <f t="shared" si="0"/>
        <v>9.0220000000000002</v>
      </c>
      <c r="P68" s="465">
        <f>SUM(C68:J68)</f>
        <v>79.961999999999989</v>
      </c>
      <c r="Q68" s="465">
        <f>O68+P68</f>
        <v>88.983999999999995</v>
      </c>
      <c r="R68" s="70">
        <f>C56</f>
        <v>88984</v>
      </c>
      <c r="S68" s="465">
        <f>R67+R68</f>
        <v>176287</v>
      </c>
    </row>
    <row r="69" spans="1:19" ht="15" thickBot="1" x14ac:dyDescent="0.35">
      <c r="B69" s="710" t="s">
        <v>415</v>
      </c>
      <c r="C69" s="48">
        <f>V57/1000</f>
        <v>18.442</v>
      </c>
      <c r="D69" s="48">
        <f>AI57/1000</f>
        <v>28.337</v>
      </c>
      <c r="E69" s="48">
        <f>K57/1000</f>
        <v>56.832000000000001</v>
      </c>
      <c r="F69" s="48">
        <f>AF57/1000</f>
        <v>9.3390000000000004</v>
      </c>
      <c r="G69" s="48">
        <f>F57/1000</f>
        <v>23.908999999999999</v>
      </c>
      <c r="H69" s="48">
        <f>Z57/1000</f>
        <v>12.865</v>
      </c>
      <c r="I69" s="48">
        <f>Q57/1000</f>
        <v>1.7769999999999999</v>
      </c>
      <c r="J69" s="48">
        <f>Y57/1000</f>
        <v>10.016999999999999</v>
      </c>
      <c r="K69" s="48">
        <f>O69</f>
        <v>14.769</v>
      </c>
      <c r="L69" s="48"/>
      <c r="M69" s="48">
        <f>(D57+E57+N57+AO57+AR57)/1000</f>
        <v>11.64</v>
      </c>
      <c r="N69" s="48">
        <f>(AD57-(AF57+AI57))/1000</f>
        <v>3.129</v>
      </c>
      <c r="O69" s="70">
        <f t="shared" si="0"/>
        <v>14.769</v>
      </c>
      <c r="P69" s="70">
        <f>SUM(C69:J69)</f>
        <v>161.51799999999997</v>
      </c>
      <c r="Q69" s="465">
        <f>P69+O69</f>
        <v>176.28699999999998</v>
      </c>
      <c r="R69" s="465">
        <f>C57</f>
        <v>176287</v>
      </c>
      <c r="S69" s="70"/>
    </row>
  </sheetData>
  <hyperlinks>
    <hyperlink ref="A1" r:id="rId1" xr:uid="{21CBDFEC-166B-463A-B76B-E7237208C5B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431E1-383C-443F-8A8F-25197AD44AB4}">
  <dimension ref="A1:T31"/>
  <sheetViews>
    <sheetView workbookViewId="0">
      <selection activeCell="A28" sqref="A28:XFD28"/>
    </sheetView>
  </sheetViews>
  <sheetFormatPr defaultRowHeight="14.4" x14ac:dyDescent="0.3"/>
  <cols>
    <col min="1" max="1" width="28.5546875" style="465" customWidth="1"/>
    <col min="2" max="2" width="14" style="465" customWidth="1"/>
    <col min="3" max="3" width="15.5546875" style="465" customWidth="1"/>
    <col min="4" max="4" width="15.44140625" style="465" customWidth="1"/>
    <col min="5" max="5" width="16.77734375" style="465" customWidth="1"/>
    <col min="6" max="7" width="8.88671875" style="465"/>
    <col min="8" max="8" width="9.88671875" style="465" customWidth="1"/>
    <col min="9" max="9" width="16" style="465" customWidth="1"/>
    <col min="10" max="10" width="14.21875" style="465" customWidth="1"/>
    <col min="11" max="11" width="18.109375" style="465" customWidth="1"/>
    <col min="12" max="16384" width="8.88671875" style="465"/>
  </cols>
  <sheetData>
    <row r="1" spans="1:11" s="6" customFormat="1" x14ac:dyDescent="0.3">
      <c r="A1" s="6" t="s">
        <v>660</v>
      </c>
      <c r="B1" s="6" t="s">
        <v>670</v>
      </c>
    </row>
    <row r="2" spans="1:11" x14ac:dyDescent="0.3">
      <c r="A2" s="465" t="s">
        <v>661</v>
      </c>
      <c r="B2" s="465" t="s">
        <v>662</v>
      </c>
    </row>
    <row r="3" spans="1:11" x14ac:dyDescent="0.3">
      <c r="A3" s="465" t="s">
        <v>663</v>
      </c>
      <c r="B3" s="465" t="s">
        <v>664</v>
      </c>
    </row>
    <row r="5" spans="1:11" s="6" customFormat="1" x14ac:dyDescent="0.3">
      <c r="A5" s="45" t="s">
        <v>48</v>
      </c>
      <c r="B5" s="45" t="s">
        <v>665</v>
      </c>
      <c r="C5" s="45"/>
      <c r="D5" s="45"/>
      <c r="E5" s="45"/>
      <c r="F5" s="45"/>
      <c r="G5" s="45"/>
      <c r="H5" s="45" t="s">
        <v>671</v>
      </c>
      <c r="I5" s="45"/>
      <c r="J5" s="45"/>
      <c r="K5" s="45"/>
    </row>
    <row r="6" spans="1:11" s="6" customFormat="1" x14ac:dyDescent="0.3">
      <c r="A6" s="593"/>
      <c r="B6" s="593" t="s">
        <v>44</v>
      </c>
      <c r="C6" s="593" t="s">
        <v>43</v>
      </c>
      <c r="D6" s="593" t="s">
        <v>97</v>
      </c>
      <c r="E6" s="593" t="s">
        <v>45</v>
      </c>
      <c r="F6" s="593"/>
      <c r="G6" s="575"/>
      <c r="H6" s="593" t="s">
        <v>44</v>
      </c>
      <c r="I6" s="593" t="s">
        <v>43</v>
      </c>
      <c r="J6" s="593" t="s">
        <v>97</v>
      </c>
      <c r="K6" s="593" t="s">
        <v>45</v>
      </c>
    </row>
    <row r="7" spans="1:11" x14ac:dyDescent="0.3">
      <c r="A7" s="465" t="s">
        <v>1</v>
      </c>
      <c r="B7" s="590">
        <v>34961</v>
      </c>
      <c r="C7" s="588">
        <v>30990</v>
      </c>
      <c r="D7" s="589">
        <v>27946</v>
      </c>
      <c r="E7" s="591">
        <v>45495</v>
      </c>
      <c r="G7" s="70" t="s">
        <v>1</v>
      </c>
      <c r="H7" s="591">
        <f>B7/1000</f>
        <v>34.960999999999999</v>
      </c>
      <c r="I7" s="591">
        <f t="shared" ref="I7:K22" si="0">C7/1000</f>
        <v>30.99</v>
      </c>
      <c r="J7" s="591">
        <f t="shared" si="0"/>
        <v>27.946000000000002</v>
      </c>
      <c r="K7" s="591">
        <f t="shared" si="0"/>
        <v>45.494999999999997</v>
      </c>
    </row>
    <row r="8" spans="1:11" x14ac:dyDescent="0.3">
      <c r="A8" s="465" t="s">
        <v>2</v>
      </c>
      <c r="B8" s="590">
        <v>38002</v>
      </c>
      <c r="C8" s="588">
        <v>33736</v>
      </c>
      <c r="D8" s="589">
        <v>30781</v>
      </c>
      <c r="E8" s="591">
        <v>48675</v>
      </c>
      <c r="G8" s="70" t="s">
        <v>2</v>
      </c>
      <c r="H8" s="591">
        <f t="shared" ref="H8:H25" si="1">B8/1000</f>
        <v>38.002000000000002</v>
      </c>
      <c r="I8" s="591">
        <f t="shared" si="0"/>
        <v>33.735999999999997</v>
      </c>
      <c r="J8" s="591">
        <f t="shared" si="0"/>
        <v>30.780999999999999</v>
      </c>
      <c r="K8" s="591">
        <f t="shared" si="0"/>
        <v>48.674999999999997</v>
      </c>
    </row>
    <row r="9" spans="1:11" x14ac:dyDescent="0.3">
      <c r="A9" s="465" t="s">
        <v>3</v>
      </c>
      <c r="B9" s="590">
        <v>40814</v>
      </c>
      <c r="C9" s="588">
        <v>37182</v>
      </c>
      <c r="D9" s="589">
        <v>31791</v>
      </c>
      <c r="E9" s="591">
        <v>51837</v>
      </c>
      <c r="G9" s="70" t="s">
        <v>3</v>
      </c>
      <c r="H9" s="591">
        <f t="shared" si="1"/>
        <v>40.814</v>
      </c>
      <c r="I9" s="591">
        <f t="shared" si="0"/>
        <v>37.182000000000002</v>
      </c>
      <c r="J9" s="591">
        <f t="shared" si="0"/>
        <v>31.791</v>
      </c>
      <c r="K9" s="591">
        <f t="shared" si="0"/>
        <v>51.837000000000003</v>
      </c>
    </row>
    <row r="10" spans="1:11" x14ac:dyDescent="0.3">
      <c r="A10" s="465" t="s">
        <v>4</v>
      </c>
      <c r="B10" s="590">
        <v>43714</v>
      </c>
      <c r="C10" s="588">
        <v>38370</v>
      </c>
      <c r="D10" s="589">
        <v>33683</v>
      </c>
      <c r="E10" s="591">
        <v>55323</v>
      </c>
      <c r="G10" s="70" t="s">
        <v>4</v>
      </c>
      <c r="H10" s="591">
        <f t="shared" si="1"/>
        <v>43.713999999999999</v>
      </c>
      <c r="I10" s="591">
        <f t="shared" si="0"/>
        <v>38.369999999999997</v>
      </c>
      <c r="J10" s="591">
        <f t="shared" si="0"/>
        <v>33.683</v>
      </c>
      <c r="K10" s="591">
        <f t="shared" si="0"/>
        <v>55.323</v>
      </c>
    </row>
    <row r="11" spans="1:11" x14ac:dyDescent="0.3">
      <c r="A11" s="465" t="s">
        <v>5</v>
      </c>
      <c r="B11" s="590">
        <v>47863</v>
      </c>
      <c r="C11" s="588">
        <v>43188</v>
      </c>
      <c r="D11" s="589">
        <v>36426</v>
      </c>
      <c r="E11" s="591">
        <v>62070</v>
      </c>
      <c r="G11" s="70" t="s">
        <v>5</v>
      </c>
      <c r="H11" s="591">
        <f t="shared" si="1"/>
        <v>47.863</v>
      </c>
      <c r="I11" s="591">
        <f t="shared" si="0"/>
        <v>43.188000000000002</v>
      </c>
      <c r="J11" s="591">
        <f t="shared" si="0"/>
        <v>36.426000000000002</v>
      </c>
      <c r="K11" s="591">
        <f t="shared" si="0"/>
        <v>62.07</v>
      </c>
    </row>
    <row r="12" spans="1:11" x14ac:dyDescent="0.3">
      <c r="A12" s="465" t="s">
        <v>6</v>
      </c>
      <c r="B12" s="590">
        <v>49293</v>
      </c>
      <c r="C12" s="588">
        <v>46862</v>
      </c>
      <c r="D12" s="589">
        <v>38974</v>
      </c>
      <c r="E12" s="591">
        <v>68817</v>
      </c>
      <c r="G12" s="70" t="s">
        <v>6</v>
      </c>
      <c r="H12" s="591">
        <f t="shared" si="1"/>
        <v>49.292999999999999</v>
      </c>
      <c r="I12" s="591">
        <f t="shared" si="0"/>
        <v>46.862000000000002</v>
      </c>
      <c r="J12" s="591">
        <f t="shared" si="0"/>
        <v>38.973999999999997</v>
      </c>
      <c r="K12" s="591">
        <f t="shared" si="0"/>
        <v>68.816999999999993</v>
      </c>
    </row>
    <row r="13" spans="1:11" x14ac:dyDescent="0.3">
      <c r="A13" s="465" t="s">
        <v>7</v>
      </c>
      <c r="B13" s="590">
        <v>53193</v>
      </c>
      <c r="C13" s="588">
        <v>54949</v>
      </c>
      <c r="D13" s="589">
        <v>42583</v>
      </c>
      <c r="E13" s="591">
        <v>75327</v>
      </c>
      <c r="G13" s="70" t="s">
        <v>7</v>
      </c>
      <c r="H13" s="591">
        <f t="shared" si="1"/>
        <v>53.192999999999998</v>
      </c>
      <c r="I13" s="591">
        <f t="shared" si="0"/>
        <v>54.948999999999998</v>
      </c>
      <c r="J13" s="591">
        <f t="shared" si="0"/>
        <v>42.582999999999998</v>
      </c>
      <c r="K13" s="591">
        <f t="shared" si="0"/>
        <v>75.326999999999998</v>
      </c>
    </row>
    <row r="14" spans="1:11" x14ac:dyDescent="0.3">
      <c r="A14" s="465" t="s">
        <v>8</v>
      </c>
      <c r="B14" s="590">
        <v>56336</v>
      </c>
      <c r="C14" s="588">
        <v>59983</v>
      </c>
      <c r="D14" s="589">
        <v>47079</v>
      </c>
      <c r="E14" s="591">
        <v>86970</v>
      </c>
      <c r="G14" s="70" t="s">
        <v>8</v>
      </c>
      <c r="H14" s="591">
        <f t="shared" si="1"/>
        <v>56.335999999999999</v>
      </c>
      <c r="I14" s="591">
        <f t="shared" si="0"/>
        <v>59.982999999999997</v>
      </c>
      <c r="J14" s="591">
        <f t="shared" si="0"/>
        <v>47.079000000000001</v>
      </c>
      <c r="K14" s="591">
        <f t="shared" si="0"/>
        <v>86.97</v>
      </c>
    </row>
    <row r="15" spans="1:11" x14ac:dyDescent="0.3">
      <c r="A15" s="465" t="s">
        <v>9</v>
      </c>
      <c r="B15" s="590">
        <v>56891</v>
      </c>
      <c r="C15" s="588">
        <v>66274</v>
      </c>
      <c r="D15" s="589">
        <v>50356</v>
      </c>
      <c r="E15" s="591">
        <v>94537</v>
      </c>
      <c r="G15" s="70" t="s">
        <v>9</v>
      </c>
      <c r="H15" s="591">
        <f t="shared" si="1"/>
        <v>56.890999999999998</v>
      </c>
      <c r="I15" s="591">
        <f t="shared" si="0"/>
        <v>66.274000000000001</v>
      </c>
      <c r="J15" s="591">
        <f t="shared" si="0"/>
        <v>50.356000000000002</v>
      </c>
      <c r="K15" s="591">
        <f t="shared" si="0"/>
        <v>94.537000000000006</v>
      </c>
    </row>
    <row r="16" spans="1:11" x14ac:dyDescent="0.3">
      <c r="A16" s="465" t="s">
        <v>10</v>
      </c>
      <c r="B16" s="590">
        <v>60973</v>
      </c>
      <c r="C16" s="588">
        <v>69952</v>
      </c>
      <c r="D16" s="589">
        <v>56522</v>
      </c>
      <c r="E16" s="591">
        <v>100206</v>
      </c>
      <c r="G16" s="70" t="s">
        <v>10</v>
      </c>
      <c r="H16" s="591">
        <f t="shared" si="1"/>
        <v>60.972999999999999</v>
      </c>
      <c r="I16" s="591">
        <f t="shared" si="0"/>
        <v>69.951999999999998</v>
      </c>
      <c r="J16" s="591">
        <f t="shared" si="0"/>
        <v>56.521999999999998</v>
      </c>
      <c r="K16" s="591">
        <f t="shared" si="0"/>
        <v>100.206</v>
      </c>
    </row>
    <row r="17" spans="1:20" x14ac:dyDescent="0.3">
      <c r="A17" s="465" t="s">
        <v>11</v>
      </c>
      <c r="B17" s="590">
        <v>59434</v>
      </c>
      <c r="C17" s="588">
        <v>70500</v>
      </c>
      <c r="D17" s="589">
        <v>58241</v>
      </c>
      <c r="E17" s="591">
        <v>104155</v>
      </c>
      <c r="G17" s="70" t="s">
        <v>11</v>
      </c>
      <c r="H17" s="591">
        <f t="shared" si="1"/>
        <v>59.433999999999997</v>
      </c>
      <c r="I17" s="591">
        <f t="shared" si="0"/>
        <v>70.5</v>
      </c>
      <c r="J17" s="591">
        <f t="shared" si="0"/>
        <v>58.241</v>
      </c>
      <c r="K17" s="591">
        <f t="shared" si="0"/>
        <v>104.155</v>
      </c>
    </row>
    <row r="18" spans="1:20" x14ac:dyDescent="0.3">
      <c r="A18" s="465" t="s">
        <v>12</v>
      </c>
      <c r="B18" s="590">
        <v>58688</v>
      </c>
      <c r="C18" s="588">
        <v>73975</v>
      </c>
      <c r="D18" s="589">
        <v>60852</v>
      </c>
      <c r="E18" s="591">
        <v>106075</v>
      </c>
      <c r="G18" s="70" t="s">
        <v>12</v>
      </c>
      <c r="H18" s="591">
        <f t="shared" si="1"/>
        <v>58.688000000000002</v>
      </c>
      <c r="I18" s="591">
        <f t="shared" si="0"/>
        <v>73.974999999999994</v>
      </c>
      <c r="J18" s="591">
        <f t="shared" si="0"/>
        <v>60.851999999999997</v>
      </c>
      <c r="K18" s="591">
        <f t="shared" si="0"/>
        <v>106.075</v>
      </c>
    </row>
    <row r="19" spans="1:20" x14ac:dyDescent="0.3">
      <c r="A19" s="465" t="s">
        <v>13</v>
      </c>
      <c r="B19" s="590">
        <v>59696</v>
      </c>
      <c r="C19" s="588">
        <v>80516</v>
      </c>
      <c r="D19" s="589">
        <v>61266</v>
      </c>
      <c r="E19" s="591">
        <v>116336</v>
      </c>
      <c r="G19" s="70" t="s">
        <v>13</v>
      </c>
      <c r="H19" s="591">
        <f t="shared" si="1"/>
        <v>59.695999999999998</v>
      </c>
      <c r="I19" s="591">
        <f t="shared" si="0"/>
        <v>80.516000000000005</v>
      </c>
      <c r="J19" s="591">
        <f t="shared" si="0"/>
        <v>61.265999999999998</v>
      </c>
      <c r="K19" s="591">
        <f t="shared" si="0"/>
        <v>116.336</v>
      </c>
    </row>
    <row r="20" spans="1:20" x14ac:dyDescent="0.3">
      <c r="A20" s="465" t="s">
        <v>14</v>
      </c>
      <c r="B20" s="590">
        <v>62620</v>
      </c>
      <c r="C20" s="588">
        <v>82916</v>
      </c>
      <c r="D20" s="589">
        <v>61610</v>
      </c>
      <c r="E20" s="591">
        <v>122438</v>
      </c>
      <c r="G20" s="70" t="s">
        <v>14</v>
      </c>
      <c r="H20" s="591">
        <f t="shared" si="1"/>
        <v>62.62</v>
      </c>
      <c r="I20" s="591">
        <f t="shared" si="0"/>
        <v>82.915999999999997</v>
      </c>
      <c r="J20" s="591">
        <f t="shared" si="0"/>
        <v>61.61</v>
      </c>
      <c r="K20" s="591">
        <f t="shared" si="0"/>
        <v>122.438</v>
      </c>
    </row>
    <row r="21" spans="1:20" x14ac:dyDescent="0.3">
      <c r="A21" s="465" t="s">
        <v>15</v>
      </c>
      <c r="B21" s="590">
        <v>65515</v>
      </c>
      <c r="C21" s="588">
        <v>80948</v>
      </c>
      <c r="D21" s="589">
        <v>67667</v>
      </c>
      <c r="E21" s="591">
        <v>142188</v>
      </c>
      <c r="G21" s="70" t="s">
        <v>15</v>
      </c>
      <c r="H21" s="591">
        <f t="shared" si="1"/>
        <v>65.515000000000001</v>
      </c>
      <c r="I21" s="591">
        <f t="shared" si="0"/>
        <v>80.947999999999993</v>
      </c>
      <c r="J21" s="591">
        <f t="shared" si="0"/>
        <v>67.667000000000002</v>
      </c>
      <c r="K21" s="591">
        <f t="shared" si="0"/>
        <v>142.18799999999999</v>
      </c>
    </row>
    <row r="22" spans="1:20" x14ac:dyDescent="0.3">
      <c r="A22" s="465" t="s">
        <v>16</v>
      </c>
      <c r="B22" s="590">
        <v>66564</v>
      </c>
      <c r="C22" s="588">
        <v>90613</v>
      </c>
      <c r="D22" s="589">
        <v>68216</v>
      </c>
      <c r="E22" s="591">
        <v>136563</v>
      </c>
      <c r="G22" s="70" t="s">
        <v>16</v>
      </c>
      <c r="H22" s="591">
        <f t="shared" si="1"/>
        <v>66.563999999999993</v>
      </c>
      <c r="I22" s="591">
        <f t="shared" si="0"/>
        <v>90.613</v>
      </c>
      <c r="J22" s="591">
        <f t="shared" si="0"/>
        <v>68.215999999999994</v>
      </c>
      <c r="K22" s="591">
        <f t="shared" si="0"/>
        <v>136.56299999999999</v>
      </c>
    </row>
    <row r="23" spans="1:20" x14ac:dyDescent="0.3">
      <c r="A23" s="465" t="s">
        <v>17</v>
      </c>
      <c r="B23" s="590">
        <v>68647</v>
      </c>
      <c r="C23" s="588">
        <v>91448</v>
      </c>
      <c r="D23" s="589">
        <v>73385</v>
      </c>
      <c r="E23" s="591">
        <v>141410</v>
      </c>
      <c r="G23" s="70" t="s">
        <v>17</v>
      </c>
      <c r="H23" s="591">
        <f t="shared" si="1"/>
        <v>68.647000000000006</v>
      </c>
      <c r="I23" s="591">
        <f t="shared" ref="I23:K25" si="2">C23/1000</f>
        <v>91.447999999999993</v>
      </c>
      <c r="J23" s="591">
        <f t="shared" si="2"/>
        <v>73.385000000000005</v>
      </c>
      <c r="K23" s="591">
        <f t="shared" si="2"/>
        <v>141.41</v>
      </c>
    </row>
    <row r="24" spans="1:20" x14ac:dyDescent="0.3">
      <c r="A24" s="465" t="s">
        <v>18</v>
      </c>
      <c r="B24" s="590">
        <v>77993</v>
      </c>
      <c r="C24" s="588">
        <v>97740</v>
      </c>
      <c r="D24" s="589">
        <v>78130</v>
      </c>
      <c r="E24" s="591">
        <v>160148</v>
      </c>
      <c r="G24" s="70" t="s">
        <v>18</v>
      </c>
      <c r="H24" s="591">
        <f t="shared" si="1"/>
        <v>77.992999999999995</v>
      </c>
      <c r="I24" s="591">
        <f t="shared" si="2"/>
        <v>97.74</v>
      </c>
      <c r="J24" s="591">
        <f t="shared" si="2"/>
        <v>78.13</v>
      </c>
      <c r="K24" s="591">
        <f t="shared" si="2"/>
        <v>160.148</v>
      </c>
    </row>
    <row r="25" spans="1:20" x14ac:dyDescent="0.3">
      <c r="A25" s="465" t="s">
        <v>525</v>
      </c>
      <c r="B25" s="590">
        <v>80616</v>
      </c>
      <c r="C25" s="588">
        <v>117050</v>
      </c>
      <c r="D25" s="589">
        <v>84113</v>
      </c>
      <c r="E25" s="591">
        <v>161974</v>
      </c>
      <c r="G25" s="70" t="s">
        <v>525</v>
      </c>
      <c r="H25" s="591">
        <f t="shared" si="1"/>
        <v>80.616</v>
      </c>
      <c r="I25" s="591">
        <f t="shared" si="2"/>
        <v>117.05</v>
      </c>
      <c r="J25" s="591">
        <f t="shared" si="2"/>
        <v>84.113</v>
      </c>
      <c r="K25" s="591">
        <f t="shared" si="2"/>
        <v>161.97399999999999</v>
      </c>
    </row>
    <row r="27" spans="1:20" x14ac:dyDescent="0.3">
      <c r="A27" s="6" t="s">
        <v>669</v>
      </c>
      <c r="B27" s="592">
        <v>1999</v>
      </c>
      <c r="C27" s="592">
        <v>2000</v>
      </c>
      <c r="D27" s="592">
        <v>2001</v>
      </c>
      <c r="E27" s="592">
        <v>2002</v>
      </c>
      <c r="F27" s="592">
        <v>2003</v>
      </c>
      <c r="G27" s="592">
        <v>2004</v>
      </c>
      <c r="H27" s="592">
        <v>2005</v>
      </c>
      <c r="I27" s="592">
        <v>2006</v>
      </c>
      <c r="J27" s="592">
        <v>2007</v>
      </c>
      <c r="K27" s="592">
        <v>2008</v>
      </c>
      <c r="L27" s="592">
        <v>2009</v>
      </c>
      <c r="M27" s="592">
        <v>2010</v>
      </c>
      <c r="N27" s="592">
        <v>2011</v>
      </c>
      <c r="O27" s="592">
        <v>2012</v>
      </c>
      <c r="P27" s="592">
        <v>2013</v>
      </c>
      <c r="Q27" s="592">
        <v>2014</v>
      </c>
      <c r="R27" s="592">
        <v>2015</v>
      </c>
      <c r="S27" s="592">
        <v>2016</v>
      </c>
      <c r="T27" s="592">
        <v>2017</v>
      </c>
    </row>
    <row r="28" spans="1:20" x14ac:dyDescent="0.3">
      <c r="A28" s="6" t="s">
        <v>43</v>
      </c>
      <c r="B28" s="465">
        <f>I7</f>
        <v>30.99</v>
      </c>
      <c r="C28" s="465">
        <f>I8</f>
        <v>33.735999999999997</v>
      </c>
      <c r="D28" s="465">
        <f>I9</f>
        <v>37.182000000000002</v>
      </c>
      <c r="E28" s="465">
        <f>I10</f>
        <v>38.369999999999997</v>
      </c>
      <c r="F28" s="465">
        <f>I11</f>
        <v>43.188000000000002</v>
      </c>
      <c r="G28" s="465">
        <f>I12</f>
        <v>46.862000000000002</v>
      </c>
      <c r="H28" s="465">
        <f>I13</f>
        <v>54.948999999999998</v>
      </c>
      <c r="I28" s="465">
        <f>I14</f>
        <v>59.982999999999997</v>
      </c>
      <c r="J28" s="465">
        <f>I15</f>
        <v>66.274000000000001</v>
      </c>
      <c r="K28" s="465">
        <f>I16</f>
        <v>69.951999999999998</v>
      </c>
      <c r="L28" s="465">
        <f>I17</f>
        <v>70.5</v>
      </c>
      <c r="M28" s="465">
        <f>I18</f>
        <v>73.974999999999994</v>
      </c>
      <c r="N28" s="465">
        <f>I19</f>
        <v>80.516000000000005</v>
      </c>
      <c r="O28" s="465">
        <f>I20</f>
        <v>82.915999999999997</v>
      </c>
      <c r="P28" s="465">
        <f>I21</f>
        <v>80.947999999999993</v>
      </c>
      <c r="Q28" s="465">
        <f>I22</f>
        <v>90.613</v>
      </c>
      <c r="R28" s="465">
        <f>I23</f>
        <v>91.447999999999993</v>
      </c>
      <c r="S28" s="465">
        <f>I24</f>
        <v>97.74</v>
      </c>
      <c r="T28" s="465">
        <f>I25</f>
        <v>117.05</v>
      </c>
    </row>
    <row r="29" spans="1:20" x14ac:dyDescent="0.3">
      <c r="A29" s="6" t="s">
        <v>668</v>
      </c>
      <c r="B29" s="465">
        <f>H7</f>
        <v>34.960999999999999</v>
      </c>
      <c r="C29" s="465">
        <f>H8</f>
        <v>38.002000000000002</v>
      </c>
      <c r="D29" s="465">
        <f>H9</f>
        <v>40.814</v>
      </c>
      <c r="E29" s="465">
        <f>H10</f>
        <v>43.713999999999999</v>
      </c>
      <c r="F29" s="465">
        <f>H11</f>
        <v>47.863</v>
      </c>
      <c r="G29" s="465">
        <f>H12</f>
        <v>49.292999999999999</v>
      </c>
      <c r="H29" s="465">
        <f>H13</f>
        <v>53.192999999999998</v>
      </c>
      <c r="I29" s="465">
        <f>H14</f>
        <v>56.335999999999999</v>
      </c>
      <c r="J29" s="465">
        <f>H15</f>
        <v>56.890999999999998</v>
      </c>
      <c r="K29" s="465">
        <f>H16</f>
        <v>60.972999999999999</v>
      </c>
      <c r="L29" s="465">
        <f>H17</f>
        <v>59.433999999999997</v>
      </c>
      <c r="M29" s="465">
        <f>H18</f>
        <v>58.688000000000002</v>
      </c>
      <c r="N29" s="465">
        <f>H19</f>
        <v>59.695999999999998</v>
      </c>
      <c r="O29" s="465">
        <f>H20</f>
        <v>62.62</v>
      </c>
      <c r="P29" s="465">
        <f>H21</f>
        <v>65.515000000000001</v>
      </c>
      <c r="Q29" s="465">
        <f>H22</f>
        <v>66.563999999999993</v>
      </c>
      <c r="R29" s="465">
        <f>H23</f>
        <v>68.647000000000006</v>
      </c>
      <c r="S29" s="465">
        <f>H24</f>
        <v>77.992999999999995</v>
      </c>
      <c r="T29" s="465">
        <f>H25</f>
        <v>80.616</v>
      </c>
    </row>
    <row r="30" spans="1:20" x14ac:dyDescent="0.3">
      <c r="A30" s="6" t="s">
        <v>45</v>
      </c>
      <c r="B30" s="465">
        <f>K7</f>
        <v>45.494999999999997</v>
      </c>
      <c r="C30" s="465">
        <f>K8</f>
        <v>48.674999999999997</v>
      </c>
      <c r="D30" s="465">
        <f>K9</f>
        <v>51.837000000000003</v>
      </c>
      <c r="E30" s="465">
        <f>K10</f>
        <v>55.323</v>
      </c>
      <c r="F30" s="465">
        <f>K11</f>
        <v>62.07</v>
      </c>
      <c r="G30" s="465">
        <f>K12</f>
        <v>68.816999999999993</v>
      </c>
      <c r="H30" s="465">
        <f>K13</f>
        <v>75.326999999999998</v>
      </c>
      <c r="I30" s="465">
        <f>K14</f>
        <v>86.97</v>
      </c>
      <c r="J30" s="465">
        <f>K15</f>
        <v>94.537000000000006</v>
      </c>
      <c r="K30" s="465">
        <f>K16</f>
        <v>100.206</v>
      </c>
      <c r="L30" s="465">
        <f>K17</f>
        <v>104.155</v>
      </c>
      <c r="M30" s="465">
        <f>K18</f>
        <v>106.075</v>
      </c>
      <c r="N30" s="465">
        <f>K19</f>
        <v>116.336</v>
      </c>
      <c r="O30" s="465">
        <f>K20</f>
        <v>122.438</v>
      </c>
      <c r="P30" s="465">
        <f>K21</f>
        <v>142.18799999999999</v>
      </c>
      <c r="Q30" s="465">
        <f>K22</f>
        <v>136.56299999999999</v>
      </c>
      <c r="R30" s="465">
        <f>K23</f>
        <v>141.41</v>
      </c>
      <c r="S30" s="465">
        <f>K24</f>
        <v>160.148</v>
      </c>
      <c r="T30" s="465">
        <f>K25</f>
        <v>161.97399999999999</v>
      </c>
    </row>
    <row r="31" spans="1:20" x14ac:dyDescent="0.3">
      <c r="A31" s="6" t="s">
        <v>97</v>
      </c>
      <c r="B31" s="465">
        <f>J7</f>
        <v>27.946000000000002</v>
      </c>
      <c r="C31" s="465">
        <f>J8</f>
        <v>30.780999999999999</v>
      </c>
      <c r="D31" s="465">
        <f>J9</f>
        <v>31.791</v>
      </c>
      <c r="E31" s="465">
        <f>J10</f>
        <v>33.683</v>
      </c>
      <c r="F31" s="465">
        <f>J11</f>
        <v>36.426000000000002</v>
      </c>
      <c r="G31" s="465">
        <f>J12</f>
        <v>38.973999999999997</v>
      </c>
      <c r="H31" s="465">
        <f>J13</f>
        <v>42.582999999999998</v>
      </c>
      <c r="I31" s="465">
        <f>J14</f>
        <v>47.079000000000001</v>
      </c>
      <c r="J31" s="465">
        <f>J15</f>
        <v>50.356000000000002</v>
      </c>
      <c r="K31" s="465">
        <f>J16</f>
        <v>56.521999999999998</v>
      </c>
      <c r="L31" s="465">
        <f>J17</f>
        <v>58.241</v>
      </c>
      <c r="M31" s="465">
        <f>J18</f>
        <v>60.851999999999997</v>
      </c>
      <c r="N31" s="465">
        <f>J19</f>
        <v>61.265999999999998</v>
      </c>
      <c r="O31" s="465">
        <f>J20</f>
        <v>61.61</v>
      </c>
      <c r="P31" s="465">
        <f>J21</f>
        <v>67.667000000000002</v>
      </c>
      <c r="Q31" s="465">
        <f>J22</f>
        <v>68.215999999999994</v>
      </c>
      <c r="R31" s="465">
        <f>J23</f>
        <v>73.385000000000005</v>
      </c>
      <c r="S31" s="465">
        <f>J24</f>
        <v>78.13</v>
      </c>
      <c r="T31" s="465">
        <f>J25</f>
        <v>84.113</v>
      </c>
    </row>
  </sheetData>
  <pageMargins left="0.7" right="0.7" top="0.75" bottom="0.75" header="0.3" footer="0.3"/>
  <pageSetup paperSize="9" orientation="portrait" horizontalDpi="200" verticalDpi="200" copies="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74A25-EDE7-4479-9451-375CCDD46A01}">
  <dimension ref="A1:CR187"/>
  <sheetViews>
    <sheetView topLeftCell="A97" zoomScale="90" zoomScaleNormal="90" workbookViewId="0">
      <selection activeCell="G23" sqref="G23"/>
    </sheetView>
  </sheetViews>
  <sheetFormatPr defaultRowHeight="14.4" x14ac:dyDescent="0.3"/>
  <cols>
    <col min="1" max="1" width="42.88671875" style="91" customWidth="1"/>
    <col min="2" max="2" width="13.109375" style="91" customWidth="1"/>
    <col min="3" max="3" width="12.5546875" style="91" bestFit="1" customWidth="1"/>
    <col min="4" max="4" width="12.77734375" style="91" customWidth="1"/>
    <col min="5" max="5" width="13.109375" style="91" customWidth="1"/>
    <col min="6" max="6" width="13.33203125" style="91" customWidth="1"/>
    <col min="7" max="7" width="25.33203125" style="91" customWidth="1"/>
    <col min="8" max="8" width="12.109375" style="91" customWidth="1"/>
    <col min="9" max="9" width="11.44140625" style="91" customWidth="1"/>
    <col min="10" max="17" width="11.5546875" style="91" bestFit="1" customWidth="1"/>
    <col min="18" max="18" width="12.109375" style="91" bestFit="1" customWidth="1"/>
    <col min="19" max="20" width="11.5546875" style="91" bestFit="1" customWidth="1"/>
    <col min="21" max="21" width="8.88671875" style="91"/>
    <col min="22" max="22" width="14.109375" style="91" customWidth="1"/>
    <col min="23" max="24" width="12.33203125" style="91" customWidth="1"/>
    <col min="25" max="16384" width="8.88671875" style="91"/>
  </cols>
  <sheetData>
    <row r="1" spans="1:13" s="156" customFormat="1" ht="54" customHeight="1" x14ac:dyDescent="0.4">
      <c r="A1" s="156" t="s">
        <v>421</v>
      </c>
    </row>
    <row r="2" spans="1:13" s="156" customFormat="1" ht="94.2" customHeight="1" x14ac:dyDescent="0.4">
      <c r="A2" s="990" t="s">
        <v>478</v>
      </c>
      <c r="B2" s="990"/>
      <c r="C2" s="990"/>
      <c r="D2" s="990"/>
      <c r="E2" s="990"/>
      <c r="F2" s="990"/>
      <c r="G2" s="990"/>
      <c r="H2" s="990"/>
      <c r="I2" s="990"/>
      <c r="J2" s="990"/>
      <c r="K2" s="990"/>
      <c r="L2" s="990"/>
      <c r="M2" s="990"/>
    </row>
    <row r="3" spans="1:13" x14ac:dyDescent="0.3">
      <c r="A3" s="134" t="s">
        <v>266</v>
      </c>
      <c r="B3" s="78"/>
      <c r="E3" s="6"/>
      <c r="F3" s="78"/>
    </row>
    <row r="4" spans="1:13" ht="58.8" customHeight="1" x14ac:dyDescent="0.3">
      <c r="A4" s="980" t="s">
        <v>559</v>
      </c>
      <c r="B4" s="980"/>
      <c r="C4" s="980"/>
      <c r="D4" s="980"/>
      <c r="E4" s="980"/>
      <c r="F4" s="980"/>
      <c r="G4" s="980"/>
      <c r="H4" s="980"/>
      <c r="I4" s="980"/>
      <c r="J4" s="980"/>
      <c r="K4" s="980"/>
      <c r="L4" s="980"/>
      <c r="M4" s="980"/>
    </row>
    <row r="5" spans="1:13" x14ac:dyDescent="0.3">
      <c r="A5" s="134"/>
      <c r="B5" s="78"/>
      <c r="E5" s="6"/>
      <c r="F5" s="78"/>
    </row>
    <row r="6" spans="1:13" ht="18.600000000000001" thickBot="1" x14ac:dyDescent="0.4">
      <c r="A6" s="95" t="s">
        <v>286</v>
      </c>
      <c r="B6" s="83"/>
      <c r="C6" s="6"/>
      <c r="F6" s="9"/>
    </row>
    <row r="7" spans="1:13" x14ac:dyDescent="0.3">
      <c r="A7" s="283" t="s">
        <v>185</v>
      </c>
      <c r="B7" s="284" t="s">
        <v>128</v>
      </c>
      <c r="C7" s="285" t="s">
        <v>127</v>
      </c>
      <c r="F7" s="72"/>
    </row>
    <row r="8" spans="1:13" x14ac:dyDescent="0.3">
      <c r="A8" s="286" t="s">
        <v>423</v>
      </c>
      <c r="B8" s="57">
        <f>'Old_Core Data_Goods'!D7/1000</f>
        <v>163.99700000000001</v>
      </c>
      <c r="C8" s="287">
        <f>'Old_Core Data_Goods'!V7/1000</f>
        <v>301.40499999999997</v>
      </c>
    </row>
    <row r="9" spans="1:13" x14ac:dyDescent="0.3">
      <c r="A9" s="292" t="s">
        <v>424</v>
      </c>
      <c r="B9" s="291">
        <f>'Old_Core Data_Goods'!D29/1000</f>
        <v>149.751</v>
      </c>
      <c r="C9" s="293">
        <f>'Old_Core Data_Goods'!V29/1000</f>
        <v>270.52499999999998</v>
      </c>
    </row>
    <row r="10" spans="1:13" ht="15" thickBot="1" x14ac:dyDescent="0.35">
      <c r="A10" s="288" t="s">
        <v>422</v>
      </c>
      <c r="B10" s="289">
        <f>B8-B9</f>
        <v>14.246000000000009</v>
      </c>
      <c r="C10" s="290">
        <f>C8-C9</f>
        <v>30.879999999999995</v>
      </c>
    </row>
    <row r="11" spans="1:13" x14ac:dyDescent="0.3">
      <c r="A11" s="130"/>
      <c r="B11" s="19"/>
      <c r="E11" s="45"/>
      <c r="F11" s="81"/>
    </row>
    <row r="12" spans="1:13" x14ac:dyDescent="0.3">
      <c r="A12" s="140" t="s">
        <v>283</v>
      </c>
      <c r="B12" s="189">
        <v>1998</v>
      </c>
      <c r="C12" s="124">
        <v>2016</v>
      </c>
      <c r="E12" s="45"/>
      <c r="F12" s="81"/>
    </row>
    <row r="13" spans="1:13" x14ac:dyDescent="0.3">
      <c r="A13" s="215" t="s">
        <v>191</v>
      </c>
      <c r="B13" s="216">
        <f>B9/B8</f>
        <v>0.91313255730287746</v>
      </c>
      <c r="C13" s="217">
        <f>C9/C8</f>
        <v>0.8975464906023457</v>
      </c>
    </row>
    <row r="14" spans="1:13" x14ac:dyDescent="0.3">
      <c r="A14" s="219"/>
      <c r="B14" s="299"/>
      <c r="C14" s="299"/>
    </row>
    <row r="15" spans="1:13" x14ac:dyDescent="0.3">
      <c r="A15" s="211" t="s">
        <v>444</v>
      </c>
      <c r="B15" s="301" t="s">
        <v>137</v>
      </c>
      <c r="C15" s="301" t="s">
        <v>64</v>
      </c>
      <c r="D15" s="117" t="s">
        <v>319</v>
      </c>
    </row>
    <row r="16" spans="1:13" x14ac:dyDescent="0.3">
      <c r="A16" s="179" t="s">
        <v>285</v>
      </c>
      <c r="B16" s="302">
        <v>18.260000000000002</v>
      </c>
      <c r="C16" s="302">
        <v>21.82</v>
      </c>
      <c r="D16" s="303">
        <f>B16+C16</f>
        <v>40.08</v>
      </c>
    </row>
    <row r="17" spans="1:4" x14ac:dyDescent="0.3">
      <c r="A17" s="179" t="s">
        <v>194</v>
      </c>
      <c r="B17" s="302">
        <v>9.81</v>
      </c>
      <c r="C17" s="302">
        <v>22.35</v>
      </c>
      <c r="D17" s="304">
        <f>B17+C17</f>
        <v>32.160000000000004</v>
      </c>
    </row>
    <row r="18" spans="1:4" x14ac:dyDescent="0.3">
      <c r="A18" s="179" t="s">
        <v>130</v>
      </c>
      <c r="B18" s="302">
        <v>11.45</v>
      </c>
      <c r="C18" s="302">
        <v>14.43</v>
      </c>
      <c r="D18" s="303">
        <f t="shared" ref="D18:D25" si="0">B18+C18</f>
        <v>25.88</v>
      </c>
    </row>
    <row r="19" spans="1:4" x14ac:dyDescent="0.3">
      <c r="A19" s="179" t="s">
        <v>115</v>
      </c>
      <c r="B19" s="302">
        <v>12.08</v>
      </c>
      <c r="C19" s="303">
        <v>13.75</v>
      </c>
      <c r="D19" s="304">
        <f t="shared" si="0"/>
        <v>25.83</v>
      </c>
    </row>
    <row r="20" spans="1:4" x14ac:dyDescent="0.3">
      <c r="A20" s="179" t="s">
        <v>116</v>
      </c>
      <c r="B20" s="302">
        <v>14.71</v>
      </c>
      <c r="C20" s="302">
        <v>10.15</v>
      </c>
      <c r="D20" s="303">
        <f t="shared" si="0"/>
        <v>24.86</v>
      </c>
    </row>
    <row r="21" spans="1:4" x14ac:dyDescent="0.3">
      <c r="A21" s="179" t="s">
        <v>207</v>
      </c>
      <c r="B21" s="302">
        <v>11.59</v>
      </c>
      <c r="C21" s="302">
        <v>13.13</v>
      </c>
      <c r="D21" s="304">
        <f t="shared" si="0"/>
        <v>24.72</v>
      </c>
    </row>
    <row r="22" spans="1:4" x14ac:dyDescent="0.3">
      <c r="A22" s="179" t="s">
        <v>298</v>
      </c>
      <c r="B22" s="302">
        <v>5.21</v>
      </c>
      <c r="C22" s="302">
        <v>10.27</v>
      </c>
      <c r="D22" s="303">
        <f t="shared" si="0"/>
        <v>15.48</v>
      </c>
    </row>
    <row r="23" spans="1:4" x14ac:dyDescent="0.3">
      <c r="A23" s="179" t="s">
        <v>301</v>
      </c>
      <c r="B23" s="302">
        <v>7.91</v>
      </c>
      <c r="C23" s="302">
        <v>3.46</v>
      </c>
      <c r="D23" s="304">
        <f t="shared" si="0"/>
        <v>11.370000000000001</v>
      </c>
    </row>
    <row r="24" spans="1:4" x14ac:dyDescent="0.3">
      <c r="A24" s="179" t="s">
        <v>299</v>
      </c>
      <c r="B24" s="302">
        <v>4.8099999999999996</v>
      </c>
      <c r="C24" s="302">
        <v>5.52</v>
      </c>
      <c r="D24" s="303">
        <f t="shared" si="0"/>
        <v>10.329999999999998</v>
      </c>
    </row>
    <row r="25" spans="1:4" x14ac:dyDescent="0.3">
      <c r="A25" s="179" t="s">
        <v>300</v>
      </c>
      <c r="B25" s="302">
        <v>2.61</v>
      </c>
      <c r="C25" s="302">
        <v>4.4800000000000004</v>
      </c>
      <c r="D25" s="304">
        <f t="shared" si="0"/>
        <v>7.09</v>
      </c>
    </row>
    <row r="26" spans="1:4" x14ac:dyDescent="0.3">
      <c r="A26" s="177" t="s">
        <v>425</v>
      </c>
      <c r="B26" s="305">
        <f>B27-(SUM(B16:B25))</f>
        <v>30.5</v>
      </c>
      <c r="C26" s="305">
        <f>C27-(SUM(C16:C25))</f>
        <v>22.230000000000018</v>
      </c>
      <c r="D26" s="305">
        <f>D27-(SUM(D16:D25))</f>
        <v>52.72999999999999</v>
      </c>
    </row>
    <row r="27" spans="1:4" x14ac:dyDescent="0.3">
      <c r="A27" s="300" t="s">
        <v>193</v>
      </c>
      <c r="B27" s="312">
        <v>128.94</v>
      </c>
      <c r="C27" s="312">
        <f>141.59</f>
        <v>141.59</v>
      </c>
      <c r="D27" s="312">
        <f>B27+C27</f>
        <v>270.52999999999997</v>
      </c>
    </row>
    <row r="28" spans="1:4" x14ac:dyDescent="0.3">
      <c r="B28" s="19"/>
    </row>
    <row r="29" spans="1:4" s="6" customFormat="1" ht="18" x14ac:dyDescent="0.35">
      <c r="A29" s="201" t="s">
        <v>467</v>
      </c>
      <c r="B29" s="19"/>
    </row>
    <row r="30" spans="1:4" s="6" customFormat="1" ht="28.8" x14ac:dyDescent="0.3">
      <c r="A30" s="176">
        <v>1998</v>
      </c>
      <c r="B30" s="111" t="s">
        <v>215</v>
      </c>
      <c r="C30" s="111" t="s">
        <v>216</v>
      </c>
      <c r="D30" s="141" t="s">
        <v>189</v>
      </c>
    </row>
    <row r="31" spans="1:4" s="6" customFormat="1" x14ac:dyDescent="0.3">
      <c r="A31" s="177" t="s">
        <v>87</v>
      </c>
      <c r="B31" s="122">
        <f>B9</f>
        <v>149.751</v>
      </c>
      <c r="C31" s="122">
        <f>('Old_Core Data_Goods'!D37+'Old_Core Data_Goods'!D38)/1000</f>
        <v>319.661</v>
      </c>
      <c r="D31" s="178">
        <f>B31/B31</f>
        <v>1</v>
      </c>
    </row>
    <row r="32" spans="1:4" s="6" customFormat="1" x14ac:dyDescent="0.3">
      <c r="A32" s="179" t="s">
        <v>285</v>
      </c>
      <c r="B32" s="180">
        <f>('Old_Core Data_Goods'!D51+'Old_Core Data_Goods'!D55)/1000</f>
        <v>15.856999999999999</v>
      </c>
      <c r="C32" s="180">
        <f>('Old_Core Data_Goods'!D51+'Old_Core Data_Goods'!D52+'Old_Core Data_Goods'!D55+'Old_Core Data_Goods'!D56)/1000</f>
        <v>38.823999999999998</v>
      </c>
      <c r="D32" s="181">
        <f>B32/B31</f>
        <v>0.10588910925469612</v>
      </c>
    </row>
    <row r="33" spans="1:19" s="6" customFormat="1" x14ac:dyDescent="0.3">
      <c r="A33" s="179" t="s">
        <v>194</v>
      </c>
      <c r="B33" s="180">
        <f>('Old_Core Data_Goods'!D60+'Old_Core Data_Goods'!D64)/1000</f>
        <v>11.709</v>
      </c>
      <c r="C33" s="180">
        <f>('Old_Core Data_Goods'!D60+'Old_Core Data_Goods'!D61+'Old_Core Data_Goods'!D64+'Old_Core Data_Goods'!D65)/1000</f>
        <v>22.065000000000001</v>
      </c>
      <c r="D33" s="181">
        <f>B33/B31</f>
        <v>7.8189795059799255E-2</v>
      </c>
    </row>
    <row r="34" spans="1:19" s="6" customFormat="1" x14ac:dyDescent="0.3">
      <c r="A34" s="179" t="s">
        <v>130</v>
      </c>
      <c r="B34" s="180">
        <f>('Old_Core Data_Goods'!D69+'Old_Core Data_Goods'!D73)/1000</f>
        <v>17.771000000000001</v>
      </c>
      <c r="C34" s="180">
        <f>('Old_Core Data_Goods'!D69+'Old_Core Data_Goods'!D70+'Old_Core Data_Goods'!D73+'Old_Core Data_Goods'!D74)/1000</f>
        <v>32.613999999999997</v>
      </c>
      <c r="D34" s="181">
        <f>B34/B31</f>
        <v>0.11867032607461719</v>
      </c>
    </row>
    <row r="35" spans="1:19" s="6" customFormat="1" x14ac:dyDescent="0.3">
      <c r="A35" s="179" t="s">
        <v>115</v>
      </c>
      <c r="B35" s="180">
        <f>('Old_Core Data_Goods'!D78+'Old_Core Data_Goods'!D82)/1000</f>
        <v>6.2160000000000002</v>
      </c>
      <c r="C35" s="180">
        <f>('Old_Core Data_Goods'!D78+'Old_Core Data_Goods'!D79+'Old_Core Data_Goods'!D82+'Old_Core Data_Goods'!D83)/1000</f>
        <v>11.433999999999999</v>
      </c>
      <c r="D35" s="181">
        <f>B35/B31</f>
        <v>4.1508904781938021E-2</v>
      </c>
    </row>
    <row r="36" spans="1:19" s="6" customFormat="1" x14ac:dyDescent="0.3">
      <c r="A36" s="179" t="s">
        <v>116</v>
      </c>
      <c r="B36" s="180">
        <f>('Old_Core Data_Goods'!D87+'Old_Core Data_Goods'!D91)/1000</f>
        <v>16.193999999999999</v>
      </c>
      <c r="C36" s="180">
        <f>('Old_Core Data_Goods'!D87+'Old_Core Data_Goods'!D88+'Old_Core Data_Goods'!D91+'Old_Core Data_Goods'!D92)/1000</f>
        <v>29.463000000000001</v>
      </c>
      <c r="D36" s="181">
        <f>B36/B31</f>
        <v>0.10813951158923812</v>
      </c>
    </row>
    <row r="37" spans="1:19" s="6" customFormat="1" x14ac:dyDescent="0.3">
      <c r="A37" s="179" t="s">
        <v>207</v>
      </c>
      <c r="B37" s="180">
        <f>('Old_Core Data_Goods'!D96+'Old_Core Data_Goods'!D100)/1000</f>
        <v>31.335999999999999</v>
      </c>
      <c r="C37" s="180">
        <f>('Old_Core Data_Goods'!D96+'Old_Core Data_Goods'!D97+'Old_Core Data_Goods'!D100+'Old_Core Data_Goods'!D101)/1000</f>
        <v>64.825000000000003</v>
      </c>
      <c r="D37" s="181">
        <f>B37/B31</f>
        <v>0.20925402835373386</v>
      </c>
    </row>
    <row r="38" spans="1:19" s="6" customFormat="1" x14ac:dyDescent="0.3">
      <c r="A38" s="179" t="s">
        <v>298</v>
      </c>
      <c r="B38" s="180">
        <f>('Old_Core Data_Goods'!D105+'Old_Core Data_Goods'!D109)/1000</f>
        <v>6.0549999999999997</v>
      </c>
      <c r="C38" s="180">
        <f>('Old_Core Data_Goods'!D105+'Old_Core Data_Goods'!D106+'Old_Core Data_Goods'!D109+'Old_Core Data_Goods'!D110)/1000</f>
        <v>13.436</v>
      </c>
      <c r="D38" s="181">
        <f>B38/B31</f>
        <v>4.0433786752676108E-2</v>
      </c>
    </row>
    <row r="39" spans="1:19" s="6" customFormat="1" x14ac:dyDescent="0.3">
      <c r="A39" s="179" t="s">
        <v>301</v>
      </c>
      <c r="B39" s="180">
        <f>('Old_Core Data_Goods'!D114+'Old_Core Data_Goods'!D118)/1000</f>
        <v>5.6379999999999999</v>
      </c>
      <c r="C39" s="180">
        <f>('Old_Core Data_Goods'!D114+'Old_Core Data_Goods'!D115+'Old_Core Data_Goods'!D118+'Old_Core Data_Goods'!D119)/1000</f>
        <v>15.702</v>
      </c>
      <c r="D39" s="181">
        <f>B39/B31</f>
        <v>3.7649164279370421E-2</v>
      </c>
    </row>
    <row r="40" spans="1:19" s="6" customFormat="1" x14ac:dyDescent="0.3">
      <c r="A40" s="179" t="s">
        <v>299</v>
      </c>
      <c r="B40" s="180">
        <f>('Old_Core Data_Goods'!D123+'Old_Core Data_Goods'!D127)/1000</f>
        <v>7.17</v>
      </c>
      <c r="C40" s="180">
        <f>('Old_Core Data_Goods'!D123+'Old_Core Data_Goods'!D124+'Old_Core Data_Goods'!D127+'Old_Core Data_Goods'!D128)/1000</f>
        <v>15.173</v>
      </c>
      <c r="D40" s="181">
        <f>B40/B31</f>
        <v>4.7879479936694912E-2</v>
      </c>
    </row>
    <row r="41" spans="1:19" s="6" customFormat="1" x14ac:dyDescent="0.3">
      <c r="A41" s="179" t="s">
        <v>300</v>
      </c>
      <c r="B41" s="180">
        <f>('Old_Core Data_Goods'!D132+'Old_Core Data_Goods'!D136)/1000</f>
        <v>3.0129999999999999</v>
      </c>
      <c r="C41" s="180">
        <f>('Old_Core Data_Goods'!D132+'Old_Core Data_Goods'!D133+'Old_Core Data_Goods'!D136+'Old_Core Data_Goods'!D137)/1000</f>
        <v>5.8040000000000003</v>
      </c>
      <c r="D41" s="181">
        <f>B41/B31</f>
        <v>2.0120065976187138E-2</v>
      </c>
    </row>
    <row r="42" spans="1:19" x14ac:dyDescent="0.3">
      <c r="A42" s="177" t="s">
        <v>425</v>
      </c>
      <c r="B42" s="122">
        <f>B31-SUM(B32:B41)</f>
        <v>28.791999999999987</v>
      </c>
      <c r="C42" s="122">
        <f>C31-SUM(C32:C40)</f>
        <v>76.125000000000028</v>
      </c>
      <c r="D42" s="369">
        <f>B42/B31</f>
        <v>0.19226582794104871</v>
      </c>
      <c r="L42" s="6"/>
      <c r="M42" s="6"/>
      <c r="N42" s="6"/>
      <c r="O42" s="6"/>
      <c r="P42" s="6"/>
      <c r="Q42" s="6"/>
      <c r="R42" s="6"/>
      <c r="S42" s="6"/>
    </row>
    <row r="43" spans="1:19" x14ac:dyDescent="0.3">
      <c r="A43" s="166" t="s">
        <v>466</v>
      </c>
      <c r="L43" s="6"/>
      <c r="M43" s="6"/>
      <c r="N43" s="6"/>
      <c r="O43" s="6"/>
      <c r="P43" s="6"/>
      <c r="Q43" s="6"/>
      <c r="R43" s="6"/>
      <c r="S43" s="6"/>
    </row>
    <row r="44" spans="1:19" x14ac:dyDescent="0.3">
      <c r="L44" s="6"/>
      <c r="M44" s="6"/>
      <c r="N44" s="6"/>
      <c r="O44" s="6"/>
      <c r="P44" s="6"/>
      <c r="Q44" s="6"/>
      <c r="R44" s="6"/>
      <c r="S44" s="6"/>
    </row>
    <row r="45" spans="1:19" x14ac:dyDescent="0.3">
      <c r="L45" s="6"/>
      <c r="M45" s="6"/>
      <c r="N45" s="6"/>
      <c r="O45" s="6"/>
      <c r="P45" s="6"/>
      <c r="Q45" s="6"/>
      <c r="R45" s="6"/>
      <c r="S45" s="6"/>
    </row>
    <row r="46" spans="1:19" ht="28.8" x14ac:dyDescent="0.3">
      <c r="A46" s="176">
        <v>2016</v>
      </c>
      <c r="B46" s="111" t="s">
        <v>215</v>
      </c>
      <c r="C46" s="111" t="s">
        <v>216</v>
      </c>
      <c r="D46" s="141" t="s">
        <v>189</v>
      </c>
      <c r="L46" s="6"/>
      <c r="M46" s="6"/>
      <c r="N46" s="6"/>
      <c r="O46" s="6"/>
      <c r="P46" s="6"/>
      <c r="Q46" s="6"/>
      <c r="R46" s="6"/>
      <c r="S46" s="6"/>
    </row>
    <row r="47" spans="1:19" x14ac:dyDescent="0.3">
      <c r="A47" s="177" t="s">
        <v>87</v>
      </c>
      <c r="B47" s="122">
        <f>('Old_Core Data_Goods'!V37)/1000</f>
        <v>270.52499999999998</v>
      </c>
      <c r="C47" s="122">
        <f>('Old_Core Data_Goods'!V37+'Old_Core Data_Goods'!V38)/1000</f>
        <v>666.63300000000004</v>
      </c>
      <c r="D47" s="178">
        <f>B47/B47</f>
        <v>1</v>
      </c>
      <c r="L47" s="6"/>
      <c r="M47" s="6"/>
      <c r="N47" s="6"/>
      <c r="O47" s="6"/>
      <c r="P47" s="6"/>
      <c r="Q47" s="6"/>
      <c r="R47" s="6"/>
      <c r="S47" s="6"/>
    </row>
    <row r="48" spans="1:19" x14ac:dyDescent="0.3">
      <c r="A48" s="179" t="s">
        <v>285</v>
      </c>
      <c r="B48" s="180">
        <f>('Old_Core Data_Goods'!V51+'Old_Core Data_Goods'!V55)/1000</f>
        <v>40.073</v>
      </c>
      <c r="C48" s="180">
        <f>('Old_Core Data_Goods'!V51+'Old_Core Data_Goods'!V52+'Old_Core Data_Goods'!V55+'Old_Core Data_Goods'!V56)/1000</f>
        <v>96.638000000000005</v>
      </c>
      <c r="D48" s="181">
        <f>B48/B47</f>
        <v>0.14813048701598744</v>
      </c>
      <c r="L48" s="6"/>
      <c r="M48" s="6"/>
      <c r="N48" s="6"/>
      <c r="O48" s="6"/>
      <c r="P48" s="6"/>
      <c r="Q48" s="6"/>
      <c r="R48" s="6"/>
      <c r="S48" s="6"/>
    </row>
    <row r="49" spans="1:21" x14ac:dyDescent="0.3">
      <c r="A49" s="179" t="s">
        <v>194</v>
      </c>
      <c r="B49" s="180">
        <f>('Old_Core Data_Goods'!V60+'Old_Core Data_Goods'!V64)/1000</f>
        <v>32.154000000000003</v>
      </c>
      <c r="C49" s="180">
        <f>('Old_Core Data_Goods'!V60+'Old_Core Data_Goods'!V61+'Old_Core Data_Goods'!V64+'Old_Core Data_Goods'!V65)/1000</f>
        <v>63.475999999999999</v>
      </c>
      <c r="D49" s="181">
        <f>B49/B47</f>
        <v>0.11885777654560579</v>
      </c>
      <c r="L49" s="6"/>
      <c r="M49" s="6"/>
      <c r="N49" s="6"/>
      <c r="O49" s="6"/>
      <c r="P49" s="6"/>
      <c r="Q49" s="6"/>
      <c r="R49" s="6"/>
      <c r="S49" s="6"/>
    </row>
    <row r="50" spans="1:21" x14ac:dyDescent="0.3">
      <c r="A50" s="179" t="s">
        <v>130</v>
      </c>
      <c r="B50" s="180">
        <f>('Old_Core Data_Goods'!V69+'Old_Core Data_Goods'!V73)/1000</f>
        <v>26.885000000000002</v>
      </c>
      <c r="C50" s="180">
        <f>('Old_Core Data_Goods'!V69+'Old_Core Data_Goods'!V70+'Old_Core Data_Goods'!V73+'Old_Core Data_Goods'!V74)/1000</f>
        <v>57.030999999999999</v>
      </c>
      <c r="D50" s="181">
        <f>B50/B47</f>
        <v>9.9380833564365598E-2</v>
      </c>
      <c r="L50" s="6"/>
      <c r="M50" s="6"/>
      <c r="N50" s="6"/>
      <c r="O50" s="6"/>
      <c r="P50" s="6"/>
      <c r="Q50" s="6"/>
      <c r="R50" s="6"/>
      <c r="S50" s="6"/>
    </row>
    <row r="51" spans="1:21" x14ac:dyDescent="0.3">
      <c r="A51" s="179" t="s">
        <v>115</v>
      </c>
      <c r="B51" s="180">
        <f>('Old_Core Data_Goods'!V78+'Old_Core Data_Goods'!V82)/1000</f>
        <v>25.827999999999999</v>
      </c>
      <c r="C51" s="180">
        <f>('Old_Core Data_Goods'!V78+'Old_Core Data_Goods'!V79+'Old_Core Data_Goods'!V82+'Old_Core Data_Goods'!V83)/1000</f>
        <v>54.487000000000002</v>
      </c>
      <c r="D51" s="181">
        <f>B51/B47</f>
        <v>9.5473616116809906E-2</v>
      </c>
      <c r="L51" s="6"/>
      <c r="M51" s="6"/>
      <c r="N51" s="6"/>
      <c r="O51" s="6"/>
      <c r="P51" s="6"/>
      <c r="Q51" s="6"/>
      <c r="R51" s="6"/>
      <c r="S51" s="6"/>
    </row>
    <row r="52" spans="1:21" x14ac:dyDescent="0.3">
      <c r="A52" s="179" t="s">
        <v>176</v>
      </c>
      <c r="B52" s="180">
        <f>('Old_Core Data_Goods'!V87+'Old_Core Data_Goods'!V91)/1000</f>
        <v>24.861000000000001</v>
      </c>
      <c r="C52" s="180">
        <f>('Old_Core Data_Goods'!V87+'Old_Core Data_Goods'!V88+'Old_Core Data_Goods'!V91+'Old_Core Data_Goods'!V92)/1000</f>
        <v>49.883000000000003</v>
      </c>
      <c r="D52" s="181">
        <f>B52/B47</f>
        <v>9.1899085112281689E-2</v>
      </c>
      <c r="L52" s="6"/>
      <c r="M52" s="6"/>
      <c r="N52" s="6"/>
      <c r="O52" s="6"/>
      <c r="P52" s="6"/>
      <c r="Q52" s="6"/>
      <c r="R52" s="6"/>
      <c r="S52" s="6"/>
    </row>
    <row r="53" spans="1:21" x14ac:dyDescent="0.3">
      <c r="A53" s="179" t="s">
        <v>208</v>
      </c>
      <c r="B53" s="180">
        <f>('Old_Core Data_Goods'!V96+'Old_Core Data_Goods'!V100)/1000</f>
        <v>24.710999999999999</v>
      </c>
      <c r="C53" s="180">
        <f>('Old_Core Data_Goods'!V96+'Old_Core Data_Goods'!V97+'Old_Core Data_Goods'!V100+'Old_Core Data_Goods'!V101)/1000</f>
        <v>71.046000000000006</v>
      </c>
      <c r="D53" s="181">
        <f>B53/B47</f>
        <v>9.1344607707235931E-2</v>
      </c>
      <c r="L53" s="6"/>
      <c r="M53" s="6"/>
      <c r="N53" s="6"/>
      <c r="O53" s="6"/>
      <c r="P53" s="6"/>
      <c r="Q53" s="6"/>
      <c r="R53" s="6"/>
      <c r="S53" s="6"/>
    </row>
    <row r="54" spans="1:21" x14ac:dyDescent="0.3">
      <c r="A54" s="179" t="s">
        <v>298</v>
      </c>
      <c r="B54" s="180">
        <f>('Old_Core Data_Goods'!V105+'Old_Core Data_Goods'!V109)/1000</f>
        <v>15.477</v>
      </c>
      <c r="C54" s="180">
        <f>('Old_Core Data_Goods'!V105+'Old_Core Data_Goods'!V106+'Old_Core Data_Goods'!V109+'Old_Core Data_Goods'!V110)/1000</f>
        <v>33.615000000000002</v>
      </c>
      <c r="D54" s="181">
        <f>B54/B47</f>
        <v>5.7210978652619912E-2</v>
      </c>
      <c r="L54" s="6"/>
      <c r="M54" s="6"/>
      <c r="N54" s="6"/>
      <c r="O54" s="6"/>
      <c r="P54" s="6"/>
      <c r="Q54" s="6"/>
      <c r="R54" s="6"/>
      <c r="S54" s="6"/>
    </row>
    <row r="55" spans="1:21" x14ac:dyDescent="0.3">
      <c r="A55" s="179" t="s">
        <v>301</v>
      </c>
      <c r="B55" s="180">
        <f>('Old_Core Data_Goods'!V114+'Old_Core Data_Goods'!V118)/1000</f>
        <v>11.366</v>
      </c>
      <c r="C55" s="180">
        <f>('Old_Core Data_Goods'!V114+'Old_Core Data_Goods'!V115+'Old_Core Data_Goods'!V118+'Old_Core Data_Goods'!V119)/1000</f>
        <v>38.762</v>
      </c>
      <c r="D55" s="181">
        <f>B55/B47</f>
        <v>4.2014601238332873E-2</v>
      </c>
      <c r="L55" s="6"/>
      <c r="M55" s="6"/>
      <c r="N55" s="6"/>
      <c r="O55" s="6"/>
      <c r="P55" s="6"/>
      <c r="Q55" s="6"/>
      <c r="R55" s="6"/>
      <c r="S55" s="6"/>
    </row>
    <row r="56" spans="1:21" x14ac:dyDescent="0.3">
      <c r="A56" s="179" t="s">
        <v>299</v>
      </c>
      <c r="B56" s="180">
        <v>10.32</v>
      </c>
      <c r="C56" s="180">
        <f>('Old_Core Data_Goods'!V123+'Old_Core Data_Goods'!V124+'Old_Core Data_Goods'!V127+'Old_Core Data_Goods'!V128)/1000</f>
        <v>29.611000000000001</v>
      </c>
      <c r="D56" s="181">
        <f>B56/B47</f>
        <v>3.8148045467147215E-2</v>
      </c>
      <c r="L56" s="6"/>
      <c r="M56" s="6"/>
      <c r="N56" s="6"/>
      <c r="O56" s="6"/>
      <c r="P56" s="6"/>
      <c r="Q56" s="6"/>
      <c r="R56" s="6"/>
      <c r="S56" s="6"/>
    </row>
    <row r="57" spans="1:21" x14ac:dyDescent="0.3">
      <c r="A57" s="179" t="s">
        <v>300</v>
      </c>
      <c r="B57" s="180">
        <f>('Old_Core Data_Goods'!V132+'Old_Core Data_Goods'!V136)/1000</f>
        <v>7.085</v>
      </c>
      <c r="C57" s="180">
        <f>('Old_Core Data_Goods'!V132+'Old_Core Data_Goods'!V133+'Old_Core Data_Goods'!V136+'Old_Core Data_Goods'!V137)/1000</f>
        <v>13.393000000000001</v>
      </c>
      <c r="D57" s="181">
        <f>B57/B47</f>
        <v>2.618981609832733E-2</v>
      </c>
      <c r="L57" s="6"/>
      <c r="M57" s="6"/>
      <c r="N57" s="6"/>
      <c r="O57" s="6"/>
      <c r="P57" s="6"/>
      <c r="Q57" s="6"/>
      <c r="R57" s="6"/>
      <c r="S57" s="6"/>
    </row>
    <row r="58" spans="1:21" x14ac:dyDescent="0.3">
      <c r="A58" s="140" t="s">
        <v>425</v>
      </c>
      <c r="B58" s="121">
        <f>B47-SUM(B48:B57)</f>
        <v>51.764999999999958</v>
      </c>
      <c r="C58" s="121">
        <f>C47-(SUM(C48:C56))</f>
        <v>172.08400000000006</v>
      </c>
      <c r="D58" s="369">
        <f>B58/B47</f>
        <v>0.19135015248128626</v>
      </c>
      <c r="L58" s="6"/>
      <c r="M58" s="6"/>
      <c r="N58" s="6"/>
      <c r="O58" s="6"/>
      <c r="P58" s="6"/>
      <c r="Q58" s="6"/>
      <c r="R58" s="6"/>
      <c r="S58" s="6"/>
    </row>
    <row r="59" spans="1:21" x14ac:dyDescent="0.3">
      <c r="A59" s="294" t="s">
        <v>427</v>
      </c>
      <c r="B59" s="295">
        <v>30.9</v>
      </c>
      <c r="C59" s="18"/>
      <c r="D59" s="18"/>
      <c r="L59" s="6"/>
      <c r="M59" s="6"/>
      <c r="N59" s="6"/>
      <c r="O59" s="6"/>
      <c r="P59" s="6"/>
      <c r="Q59" s="6"/>
      <c r="R59" s="6"/>
      <c r="S59" s="6"/>
      <c r="T59" s="33"/>
    </row>
    <row r="60" spans="1:21" x14ac:dyDescent="0.3">
      <c r="B60" s="6"/>
      <c r="C60" s="18"/>
      <c r="D60" s="18"/>
      <c r="L60" s="6"/>
      <c r="M60" s="6"/>
      <c r="N60" s="6"/>
      <c r="O60" s="6"/>
      <c r="P60" s="6"/>
      <c r="Q60" s="6"/>
      <c r="R60" s="6"/>
      <c r="S60" s="6"/>
      <c r="T60" s="33"/>
    </row>
    <row r="61" spans="1:21" ht="19.2" customHeight="1" x14ac:dyDescent="0.3">
      <c r="A61" s="79" t="s">
        <v>430</v>
      </c>
      <c r="B61" s="80"/>
      <c r="C61" s="80"/>
      <c r="D61" s="18"/>
      <c r="L61" s="6"/>
      <c r="M61" s="6"/>
      <c r="N61" s="6"/>
      <c r="O61" s="6"/>
      <c r="P61" s="6"/>
      <c r="Q61" s="6"/>
      <c r="R61" s="6"/>
      <c r="S61" s="6"/>
      <c r="T61" s="33"/>
    </row>
    <row r="62" spans="1:21" s="12" customFormat="1" ht="43.2" x14ac:dyDescent="0.3">
      <c r="A62" s="207" t="s">
        <v>188</v>
      </c>
      <c r="B62" s="222" t="s">
        <v>129</v>
      </c>
      <c r="C62" s="117" t="s">
        <v>288</v>
      </c>
      <c r="D62" s="117" t="s">
        <v>287</v>
      </c>
      <c r="E62" s="223"/>
      <c r="F62" s="222" t="s">
        <v>312</v>
      </c>
      <c r="G62" s="117" t="s">
        <v>129</v>
      </c>
      <c r="H62" s="222" t="s">
        <v>289</v>
      </c>
      <c r="I62" s="117" t="s">
        <v>287</v>
      </c>
      <c r="M62" s="238"/>
      <c r="N62" s="238"/>
      <c r="O62" s="238"/>
      <c r="P62" s="238"/>
      <c r="Q62" s="238"/>
      <c r="R62" s="238"/>
      <c r="S62" s="238"/>
      <c r="T62" s="238"/>
      <c r="U62" s="224"/>
    </row>
    <row r="63" spans="1:21" x14ac:dyDescent="0.3">
      <c r="A63" s="128">
        <v>1998</v>
      </c>
      <c r="B63" s="138">
        <f>SUM(B32:B36)</f>
        <v>67.747</v>
      </c>
      <c r="C63" s="127">
        <f>B63/B31</f>
        <v>0.45239764676028871</v>
      </c>
      <c r="D63" s="225">
        <f>B63/B8</f>
        <v>0.41309902010402627</v>
      </c>
      <c r="E63" s="18"/>
      <c r="F63" s="128">
        <v>1998</v>
      </c>
      <c r="G63" s="138">
        <f>SUM(B32:B41)</f>
        <v>120.95900000000002</v>
      </c>
      <c r="H63" s="230">
        <f>G63/B31</f>
        <v>0.80773417205895126</v>
      </c>
      <c r="I63" s="199">
        <f>G63/B8</f>
        <v>0.73756837015311261</v>
      </c>
      <c r="M63" s="6"/>
      <c r="N63" s="6"/>
      <c r="O63" s="6"/>
      <c r="P63" s="6"/>
      <c r="Q63" s="6"/>
      <c r="R63" s="6"/>
      <c r="S63" s="6"/>
      <c r="T63" s="6"/>
      <c r="U63" s="33"/>
    </row>
    <row r="64" spans="1:21" x14ac:dyDescent="0.3">
      <c r="A64" s="128">
        <v>2016</v>
      </c>
      <c r="B64" s="138">
        <f>SUM(B48:B52)</f>
        <v>149.80100000000002</v>
      </c>
      <c r="C64" s="127">
        <f>B64/B47</f>
        <v>0.55374179835505044</v>
      </c>
      <c r="D64" s="169">
        <f>B64/C8</f>
        <v>0.49700900781340729</v>
      </c>
      <c r="E64" s="18"/>
      <c r="F64" s="128">
        <v>2016</v>
      </c>
      <c r="G64" s="129">
        <f>SUM(B48:B57)</f>
        <v>218.76000000000002</v>
      </c>
      <c r="H64" s="230">
        <f>G64/B47</f>
        <v>0.80864984751871372</v>
      </c>
      <c r="I64" s="199">
        <f>G64/C8</f>
        <v>0.7258008327665435</v>
      </c>
      <c r="O64" s="18"/>
      <c r="S64" s="6"/>
      <c r="T64" s="33"/>
      <c r="U64" s="33"/>
    </row>
    <row r="65" spans="1:24" x14ac:dyDescent="0.3">
      <c r="A65" s="226"/>
      <c r="B65" s="227"/>
      <c r="C65" s="202"/>
      <c r="D65" s="228"/>
      <c r="E65" s="18"/>
      <c r="F65" s="226"/>
      <c r="G65" s="229"/>
      <c r="H65" s="202"/>
      <c r="I65" s="228"/>
      <c r="O65" s="18"/>
      <c r="S65" s="6"/>
      <c r="T65" s="33"/>
      <c r="U65" s="33"/>
    </row>
    <row r="66" spans="1:24" ht="42" customHeight="1" x14ac:dyDescent="0.3">
      <c r="A66" s="992" t="s">
        <v>313</v>
      </c>
      <c r="B66" s="992"/>
      <c r="C66" s="992"/>
      <c r="D66" s="992"/>
      <c r="E66" s="992"/>
      <c r="F66" s="992"/>
      <c r="G66" s="992"/>
      <c r="H66" s="992"/>
      <c r="I66" s="992"/>
      <c r="J66" s="992"/>
      <c r="N66" s="18"/>
      <c r="R66" s="6"/>
      <c r="S66" s="33"/>
      <c r="T66" s="33"/>
    </row>
    <row r="67" spans="1:24" ht="34.200000000000003" customHeight="1" x14ac:dyDescent="0.3">
      <c r="A67" s="992" t="s">
        <v>314</v>
      </c>
      <c r="B67" s="992"/>
      <c r="C67" s="992"/>
      <c r="D67" s="992"/>
      <c r="E67" s="992"/>
      <c r="F67" s="992"/>
      <c r="G67" s="992"/>
      <c r="H67" s="992"/>
      <c r="I67" s="992"/>
      <c r="J67" s="992"/>
      <c r="N67" s="18"/>
      <c r="R67" s="6"/>
      <c r="S67" s="33"/>
      <c r="T67" s="33"/>
    </row>
    <row r="68" spans="1:24" ht="22.2" customHeight="1" x14ac:dyDescent="0.3">
      <c r="B68" s="6"/>
      <c r="C68" s="18"/>
      <c r="D68" s="18"/>
      <c r="N68" s="18"/>
      <c r="R68" s="6"/>
      <c r="S68" s="33"/>
      <c r="T68" s="33"/>
    </row>
    <row r="69" spans="1:24" s="6" customFormat="1" ht="21" customHeight="1" x14ac:dyDescent="0.3">
      <c r="A69" s="977" t="s">
        <v>281</v>
      </c>
      <c r="B69" s="977"/>
      <c r="C69" s="977"/>
      <c r="D69" s="977"/>
      <c r="E69" s="977"/>
      <c r="G69" s="19"/>
      <c r="H69" s="19"/>
      <c r="R69" s="19"/>
      <c r="W69" s="94"/>
      <c r="X69" s="94"/>
    </row>
    <row r="70" spans="1:24" s="6" customFormat="1" ht="30.6" customHeight="1" x14ac:dyDescent="0.3">
      <c r="A70" s="968" t="s">
        <v>464</v>
      </c>
      <c r="B70" s="968"/>
      <c r="C70" s="968"/>
      <c r="D70" s="968"/>
      <c r="E70" s="968"/>
      <c r="F70" s="968"/>
      <c r="G70" s="968"/>
      <c r="H70" s="968"/>
      <c r="I70" s="968"/>
      <c r="J70" s="968"/>
      <c r="R70" s="19"/>
      <c r="W70" s="94"/>
      <c r="X70" s="94"/>
    </row>
    <row r="71" spans="1:24" s="6" customFormat="1" ht="43.2" x14ac:dyDescent="0.3">
      <c r="A71" s="211" t="s">
        <v>178</v>
      </c>
      <c r="B71" s="113" t="s">
        <v>428</v>
      </c>
      <c r="C71" s="111" t="s">
        <v>429</v>
      </c>
      <c r="D71" s="113" t="s">
        <v>469</v>
      </c>
      <c r="E71" s="141" t="s">
        <v>470</v>
      </c>
      <c r="G71" s="113" t="s">
        <v>192</v>
      </c>
      <c r="H71" s="212" t="s">
        <v>65</v>
      </c>
      <c r="I71" s="209" t="s">
        <v>95</v>
      </c>
      <c r="R71" s="19"/>
      <c r="W71" s="94"/>
      <c r="X71" s="94"/>
    </row>
    <row r="72" spans="1:24" s="6" customFormat="1" x14ac:dyDescent="0.3">
      <c r="A72" s="70" t="s">
        <v>137</v>
      </c>
      <c r="B72" s="137">
        <f>B103</f>
        <v>120.38600199978892</v>
      </c>
      <c r="C72" s="119">
        <f>C103</f>
        <v>122.67337038421425</v>
      </c>
      <c r="D72" s="137">
        <f>B104</f>
        <v>126.48022822283872</v>
      </c>
      <c r="E72" s="142">
        <f>C104</f>
        <v>214.37662682293458</v>
      </c>
      <c r="G72" s="70" t="s">
        <v>96</v>
      </c>
      <c r="H72" s="159">
        <f>E103</f>
        <v>1.9000285302516698E-2</v>
      </c>
      <c r="I72" s="213">
        <f>E105</f>
        <v>0.71557028988634375</v>
      </c>
      <c r="R72" s="19"/>
      <c r="W72" s="94"/>
      <c r="X72" s="94"/>
    </row>
    <row r="73" spans="1:24" s="6" customFormat="1" x14ac:dyDescent="0.3">
      <c r="A73" s="143" t="s">
        <v>64</v>
      </c>
      <c r="B73" s="144">
        <f>B105</f>
        <v>76.765825130848953</v>
      </c>
      <c r="C73" s="145">
        <f>C105</f>
        <v>131.69716887309491</v>
      </c>
      <c r="D73" s="144">
        <f>B106</f>
        <v>92.417506393211383</v>
      </c>
      <c r="E73" s="146">
        <f>C106</f>
        <v>151.15953442545791</v>
      </c>
      <c r="G73" s="143" t="s">
        <v>86</v>
      </c>
      <c r="H73" s="188">
        <f>E104</f>
        <v>0.69494180896982505</v>
      </c>
      <c r="I73" s="214">
        <f>E106</f>
        <v>0.635615808354698</v>
      </c>
      <c r="R73" s="19"/>
      <c r="W73" s="94"/>
      <c r="X73" s="94"/>
    </row>
    <row r="74" spans="1:24" s="6" customFormat="1" ht="15.6" x14ac:dyDescent="0.3">
      <c r="A74" s="97"/>
      <c r="B74" s="20"/>
      <c r="G74" s="19"/>
      <c r="H74" s="19"/>
      <c r="R74" s="19"/>
      <c r="W74" s="94"/>
      <c r="X74" s="94"/>
    </row>
    <row r="75" spans="1:24" s="6" customFormat="1" ht="15.6" x14ac:dyDescent="0.3">
      <c r="A75" s="97"/>
      <c r="B75" s="20"/>
      <c r="G75" s="19"/>
      <c r="H75" s="19"/>
      <c r="R75" s="19"/>
      <c r="W75" s="94"/>
      <c r="X75" s="94"/>
    </row>
    <row r="76" spans="1:24" s="6" customFormat="1" ht="15.6" x14ac:dyDescent="0.3">
      <c r="A76" s="97"/>
      <c r="B76" s="20"/>
      <c r="G76" s="19"/>
      <c r="H76" s="19"/>
      <c r="R76" s="19"/>
      <c r="W76" s="94"/>
      <c r="X76" s="94"/>
    </row>
    <row r="77" spans="1:24" s="6" customFormat="1" ht="15.6" x14ac:dyDescent="0.3">
      <c r="A77" s="97"/>
      <c r="B77" s="20"/>
      <c r="G77" s="19"/>
      <c r="H77" s="19"/>
      <c r="R77" s="19"/>
      <c r="W77" s="94"/>
      <c r="X77" s="94"/>
    </row>
    <row r="78" spans="1:24" s="6" customFormat="1" ht="15.6" x14ac:dyDescent="0.3">
      <c r="A78" s="97"/>
      <c r="B78" s="20"/>
      <c r="G78" s="19"/>
      <c r="H78" s="19"/>
      <c r="R78" s="19"/>
      <c r="W78" s="94"/>
      <c r="X78" s="94"/>
    </row>
    <row r="79" spans="1:24" s="6" customFormat="1" ht="15.6" x14ac:dyDescent="0.3">
      <c r="A79" s="97"/>
      <c r="B79" s="20"/>
      <c r="F79" s="91"/>
      <c r="G79" s="19"/>
      <c r="H79" s="19"/>
      <c r="R79" s="19"/>
      <c r="W79" s="94"/>
      <c r="X79" s="94"/>
    </row>
    <row r="80" spans="1:24" x14ac:dyDescent="0.3">
      <c r="A80" s="6"/>
      <c r="B80" s="6"/>
      <c r="C80" s="6"/>
      <c r="G80" s="56"/>
      <c r="H80" s="56"/>
    </row>
    <row r="81" spans="1:23" ht="28.2" customHeight="1" x14ac:dyDescent="0.3">
      <c r="A81" s="6"/>
      <c r="B81" s="6"/>
      <c r="C81" s="6"/>
      <c r="G81" s="20"/>
      <c r="H81" s="20"/>
    </row>
    <row r="82" spans="1:23" ht="25.2" customHeight="1" x14ac:dyDescent="0.3">
      <c r="A82" s="6"/>
      <c r="B82" s="6"/>
      <c r="C82" s="6"/>
      <c r="D82" s="34"/>
      <c r="G82" s="20"/>
      <c r="H82" s="20"/>
      <c r="V82" s="91" t="s">
        <v>102</v>
      </c>
    </row>
    <row r="83" spans="1:23" ht="25.2" customHeight="1" x14ac:dyDescent="0.3">
      <c r="A83" s="6"/>
      <c r="B83" s="6"/>
      <c r="C83" s="6"/>
      <c r="D83" s="69"/>
      <c r="E83" s="35"/>
      <c r="F83" s="35"/>
    </row>
    <row r="84" spans="1:23" ht="25.2" customHeight="1" x14ac:dyDescent="0.3">
      <c r="B84" s="34"/>
      <c r="C84" s="34"/>
      <c r="D84" s="69"/>
      <c r="E84" s="35"/>
      <c r="F84" s="35"/>
      <c r="V84" s="91" t="s">
        <v>149</v>
      </c>
      <c r="W84" s="91" t="s">
        <v>150</v>
      </c>
    </row>
    <row r="85" spans="1:23" ht="25.2" customHeight="1" x14ac:dyDescent="0.3">
      <c r="B85" s="34"/>
      <c r="C85" s="34"/>
      <c r="D85" s="69"/>
      <c r="E85" s="35"/>
      <c r="F85" s="35"/>
    </row>
    <row r="86" spans="1:23" ht="25.2" customHeight="1" x14ac:dyDescent="0.3">
      <c r="A86" s="198" t="s">
        <v>277</v>
      </c>
      <c r="B86" s="34"/>
      <c r="C86" s="34"/>
      <c r="D86" s="69"/>
      <c r="E86" s="35"/>
      <c r="F86" s="35"/>
    </row>
    <row r="87" spans="1:23" ht="24.6" customHeight="1" x14ac:dyDescent="0.3">
      <c r="A87" s="210" t="s">
        <v>180</v>
      </c>
      <c r="B87" s="126" t="s">
        <v>137</v>
      </c>
      <c r="C87" s="126" t="s">
        <v>133</v>
      </c>
    </row>
    <row r="88" spans="1:23" ht="28.2" customHeight="1" x14ac:dyDescent="0.3">
      <c r="A88" s="131" t="s">
        <v>84</v>
      </c>
      <c r="B88" s="118">
        <f>F103</f>
        <v>1.1770693419523859E-3</v>
      </c>
      <c r="C88" s="118">
        <f>F105</f>
        <v>3.4309544400365599E-2</v>
      </c>
    </row>
    <row r="89" spans="1:23" ht="25.2" customHeight="1" x14ac:dyDescent="0.3">
      <c r="A89" s="131" t="s">
        <v>86</v>
      </c>
      <c r="B89" s="118">
        <f>F104</f>
        <v>3.3527827815381883E-2</v>
      </c>
      <c r="C89" s="118">
        <f>F106</f>
        <v>3.1228913471156305E-2</v>
      </c>
      <c r="U89" s="91" t="s">
        <v>102</v>
      </c>
    </row>
    <row r="90" spans="1:23" ht="25.2" customHeight="1" x14ac:dyDescent="0.3">
      <c r="A90" s="69"/>
      <c r="B90" s="115"/>
      <c r="C90" s="63"/>
    </row>
    <row r="91" spans="1:23" ht="25.2" customHeight="1" x14ac:dyDescent="0.3">
      <c r="A91" s="69"/>
      <c r="B91" s="115"/>
      <c r="C91" s="63"/>
    </row>
    <row r="92" spans="1:23" ht="25.2" customHeight="1" x14ac:dyDescent="0.3">
      <c r="A92" s="69"/>
      <c r="B92" s="115"/>
      <c r="C92" s="63"/>
    </row>
    <row r="93" spans="1:23" ht="25.2" customHeight="1" x14ac:dyDescent="0.3">
      <c r="A93" s="978" t="s">
        <v>276</v>
      </c>
      <c r="B93" s="978"/>
      <c r="C93" s="978"/>
      <c r="D93" s="978"/>
      <c r="E93" s="35"/>
      <c r="F93" s="35"/>
    </row>
    <row r="94" spans="1:23" ht="25.2" customHeight="1" x14ac:dyDescent="0.3">
      <c r="A94" s="210" t="s">
        <v>181</v>
      </c>
      <c r="B94" s="126">
        <v>1998</v>
      </c>
      <c r="C94" s="126">
        <v>2016</v>
      </c>
      <c r="D94" s="69"/>
      <c r="E94" s="35"/>
      <c r="F94" s="35"/>
      <c r="V94" s="91" t="s">
        <v>149</v>
      </c>
      <c r="W94" s="91" t="s">
        <v>150</v>
      </c>
    </row>
    <row r="95" spans="1:23" ht="25.2" customHeight="1" x14ac:dyDescent="0.3">
      <c r="A95" s="132" t="s">
        <v>205</v>
      </c>
      <c r="B95" s="169">
        <f>B103/(B105+B103)</f>
        <v>0.6106258498939402</v>
      </c>
      <c r="C95" s="169">
        <f>C103/(C105+C103)</f>
        <v>0.48226249290655354</v>
      </c>
      <c r="D95" s="69"/>
      <c r="E95" s="35"/>
      <c r="F95" s="35"/>
    </row>
    <row r="96" spans="1:23" ht="25.2" customHeight="1" x14ac:dyDescent="0.3">
      <c r="A96" s="132" t="s">
        <v>206</v>
      </c>
      <c r="B96" s="169">
        <f>B104/(B106+B104)</f>
        <v>0.577805103578102</v>
      </c>
      <c r="C96" s="169">
        <f>C104/(C106+C104)</f>
        <v>0.58647173535659969</v>
      </c>
    </row>
    <row r="97" spans="1:43" x14ac:dyDescent="0.3">
      <c r="B97" s="19"/>
      <c r="D97" s="6"/>
    </row>
    <row r="98" spans="1:43" x14ac:dyDescent="0.3">
      <c r="B98" s="19"/>
      <c r="D98" s="6"/>
    </row>
    <row r="99" spans="1:43" x14ac:dyDescent="0.3">
      <c r="B99" s="19"/>
      <c r="D99" s="6"/>
    </row>
    <row r="100" spans="1:43" x14ac:dyDescent="0.3">
      <c r="B100" s="19"/>
      <c r="D100" s="6"/>
    </row>
    <row r="101" spans="1:43" x14ac:dyDescent="0.3">
      <c r="A101" s="6" t="s">
        <v>290</v>
      </c>
      <c r="B101" s="19"/>
      <c r="D101" s="6"/>
    </row>
    <row r="102" spans="1:43" ht="28.8" x14ac:dyDescent="0.3">
      <c r="A102" s="208" t="s">
        <v>282</v>
      </c>
      <c r="B102" s="117" t="s">
        <v>186</v>
      </c>
      <c r="C102" s="117" t="s">
        <v>132</v>
      </c>
      <c r="D102" s="209" t="s">
        <v>187</v>
      </c>
      <c r="E102" s="209" t="s">
        <v>74</v>
      </c>
      <c r="F102" s="117" t="s">
        <v>195</v>
      </c>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row>
    <row r="103" spans="1:43" s="48" customFormat="1" x14ac:dyDescent="0.3">
      <c r="A103" s="135" t="s">
        <v>70</v>
      </c>
      <c r="B103" s="136">
        <f>SUM(B146:D146)/3</f>
        <v>120.38600199978892</v>
      </c>
      <c r="C103" s="136">
        <f>SUM(R146:T146)/3</f>
        <v>122.67337038421425</v>
      </c>
      <c r="D103" s="155">
        <f>C103-B103</f>
        <v>2.287368384425335</v>
      </c>
      <c r="E103" s="118">
        <f>D103/B103</f>
        <v>1.9000285302516698E-2</v>
      </c>
      <c r="F103" s="118">
        <f>((C103/B103)^(1/16))-1</f>
        <v>1.1770693419523859E-3</v>
      </c>
      <c r="G103" s="44"/>
      <c r="H103" s="44"/>
      <c r="I103" s="44"/>
      <c r="J103" s="44"/>
      <c r="K103" s="44"/>
      <c r="L103" s="44"/>
      <c r="M103" s="116"/>
      <c r="N103" s="44"/>
      <c r="O103" s="114"/>
      <c r="P103" s="44"/>
      <c r="Q103" s="44"/>
      <c r="R103" s="114"/>
      <c r="S103" s="167"/>
      <c r="T103" s="44"/>
      <c r="U103" s="44"/>
      <c r="V103" s="44"/>
      <c r="W103" s="44"/>
      <c r="X103" s="44"/>
      <c r="Y103" s="44"/>
      <c r="Z103" s="168"/>
      <c r="AA103" s="44"/>
      <c r="AB103" s="44"/>
      <c r="AC103" s="44"/>
      <c r="AD103" s="44"/>
      <c r="AE103" s="44"/>
      <c r="AF103" s="44"/>
      <c r="AG103" s="44"/>
      <c r="AH103" s="44"/>
      <c r="AI103" s="44"/>
      <c r="AJ103" s="44"/>
      <c r="AK103" s="44"/>
      <c r="AL103" s="44"/>
      <c r="AM103" s="44"/>
      <c r="AN103" s="44"/>
      <c r="AO103" s="44"/>
      <c r="AP103" s="44"/>
      <c r="AQ103" s="44"/>
    </row>
    <row r="104" spans="1:43" x14ac:dyDescent="0.3">
      <c r="A104" s="135" t="s">
        <v>71</v>
      </c>
      <c r="B104" s="136">
        <f>SUM(B147:D147)/3</f>
        <v>126.48022822283872</v>
      </c>
      <c r="C104" s="136">
        <f>SUM(R147:T147)/3</f>
        <v>214.37662682293458</v>
      </c>
      <c r="D104" s="155">
        <f>C104-B104</f>
        <v>87.896398600095864</v>
      </c>
      <c r="E104" s="118">
        <f>D104/B104</f>
        <v>0.69494180896982505</v>
      </c>
      <c r="F104" s="118">
        <f>((C104/B104)^(1/16))-1</f>
        <v>3.3527827815381883E-2</v>
      </c>
      <c r="G104" s="44"/>
      <c r="H104" s="44"/>
      <c r="I104" s="44"/>
      <c r="J104" s="44"/>
      <c r="K104" s="44"/>
      <c r="L104" s="44"/>
      <c r="M104" s="116"/>
      <c r="N104" s="44"/>
      <c r="O104" s="114"/>
      <c r="P104" s="44"/>
      <c r="Q104" s="44"/>
      <c r="R104" s="114"/>
      <c r="S104" s="167"/>
      <c r="T104" s="44"/>
      <c r="U104" s="44"/>
      <c r="V104" s="44"/>
      <c r="W104" s="44"/>
      <c r="X104" s="44"/>
      <c r="Y104" s="44"/>
      <c r="Z104" s="168"/>
      <c r="AA104" s="44"/>
      <c r="AB104" s="44"/>
      <c r="AC104" s="44"/>
      <c r="AD104" s="44"/>
      <c r="AE104" s="44"/>
      <c r="AF104" s="44"/>
      <c r="AG104" s="44"/>
      <c r="AH104" s="44"/>
      <c r="AI104" s="44"/>
      <c r="AJ104" s="44"/>
      <c r="AK104" s="44"/>
      <c r="AL104" s="44"/>
      <c r="AM104" s="44"/>
      <c r="AN104" s="44"/>
      <c r="AO104" s="44"/>
      <c r="AP104" s="44"/>
      <c r="AQ104" s="44"/>
    </row>
    <row r="105" spans="1:43" x14ac:dyDescent="0.3">
      <c r="A105" s="135" t="s">
        <v>72</v>
      </c>
      <c r="B105" s="136">
        <f>SUM(B151:D151)/3</f>
        <v>76.765825130848953</v>
      </c>
      <c r="C105" s="136">
        <f>SUM(R151:T151)/3</f>
        <v>131.69716887309491</v>
      </c>
      <c r="D105" s="155">
        <f>C105-B105</f>
        <v>54.931343742245957</v>
      </c>
      <c r="E105" s="118">
        <f>D105/B105</f>
        <v>0.71557028988634375</v>
      </c>
      <c r="F105" s="118">
        <f>((C105/B105)^(1/16))-1</f>
        <v>3.4309544400365599E-2</v>
      </c>
      <c r="M105" s="9"/>
      <c r="O105" s="11"/>
      <c r="R105" s="11"/>
      <c r="S105" s="10"/>
      <c r="Z105" s="22"/>
    </row>
    <row r="106" spans="1:43" x14ac:dyDescent="0.3">
      <c r="A106" s="135" t="s">
        <v>73</v>
      </c>
      <c r="B106" s="136">
        <f>SUM(B152:D152)/3</f>
        <v>92.417506393211383</v>
      </c>
      <c r="C106" s="136">
        <f>SUM(R152:T152)/3</f>
        <v>151.15953442545791</v>
      </c>
      <c r="D106" s="155">
        <f>C106-B106</f>
        <v>58.742028032246523</v>
      </c>
      <c r="E106" s="118">
        <f>D106/B106</f>
        <v>0.635615808354698</v>
      </c>
      <c r="F106" s="118">
        <f>((C106/B106)^(1/16))-1</f>
        <v>3.1228913471156305E-2</v>
      </c>
      <c r="M106" s="9"/>
      <c r="O106" s="11"/>
      <c r="R106" s="11"/>
      <c r="S106" s="10"/>
      <c r="Z106" s="22"/>
    </row>
    <row r="107" spans="1:43" x14ac:dyDescent="0.3">
      <c r="B107" s="19"/>
      <c r="D107" s="6"/>
    </row>
    <row r="108" spans="1:43" ht="18" x14ac:dyDescent="0.35">
      <c r="A108" s="201" t="s">
        <v>278</v>
      </c>
      <c r="B108" s="19"/>
      <c r="D108" s="6"/>
    </row>
    <row r="109" spans="1:43" x14ac:dyDescent="0.3">
      <c r="A109" s="6"/>
      <c r="B109" s="19"/>
      <c r="D109" s="6"/>
    </row>
    <row r="110" spans="1:43" x14ac:dyDescent="0.3">
      <c r="A110" s="6"/>
      <c r="B110" s="19"/>
      <c r="D110" s="6"/>
    </row>
    <row r="111" spans="1:43" x14ac:dyDescent="0.3">
      <c r="A111" s="6"/>
      <c r="B111" s="19"/>
      <c r="D111" s="6"/>
    </row>
    <row r="112" spans="1:43" x14ac:dyDescent="0.3">
      <c r="A112" s="6"/>
      <c r="B112" s="19"/>
      <c r="D112" s="6"/>
    </row>
    <row r="113" spans="1:20" x14ac:dyDescent="0.3">
      <c r="A113" s="6"/>
      <c r="B113" s="19"/>
      <c r="D113" s="6"/>
    </row>
    <row r="114" spans="1:20" x14ac:dyDescent="0.3">
      <c r="A114" s="6"/>
      <c r="B114" s="19"/>
      <c r="D114" s="6"/>
    </row>
    <row r="115" spans="1:20" x14ac:dyDescent="0.3">
      <c r="A115" s="6"/>
      <c r="B115" s="19"/>
      <c r="D115" s="6"/>
    </row>
    <row r="116" spans="1:20" x14ac:dyDescent="0.3">
      <c r="A116" s="6"/>
      <c r="B116" s="19"/>
      <c r="D116" s="6"/>
    </row>
    <row r="117" spans="1:20" x14ac:dyDescent="0.3">
      <c r="A117" s="6"/>
      <c r="B117" s="19"/>
      <c r="D117" s="6"/>
    </row>
    <row r="118" spans="1:20" x14ac:dyDescent="0.3">
      <c r="A118" s="6"/>
      <c r="B118" s="19"/>
      <c r="D118" s="6"/>
    </row>
    <row r="119" spans="1:20" x14ac:dyDescent="0.3">
      <c r="A119" s="6"/>
      <c r="B119" s="19"/>
      <c r="D119" s="6"/>
    </row>
    <row r="120" spans="1:20" x14ac:dyDescent="0.3">
      <c r="A120" s="6"/>
      <c r="B120" s="19"/>
      <c r="D120" s="6"/>
    </row>
    <row r="121" spans="1:20" x14ac:dyDescent="0.3">
      <c r="A121" s="6"/>
      <c r="B121" s="19"/>
      <c r="D121" s="6"/>
    </row>
    <row r="122" spans="1:20" x14ac:dyDescent="0.3">
      <c r="A122" s="6"/>
      <c r="B122" s="19"/>
      <c r="D122" s="6"/>
    </row>
    <row r="123" spans="1:20" s="110" customFormat="1" x14ac:dyDescent="0.3">
      <c r="A123" s="182" t="s">
        <v>48</v>
      </c>
      <c r="B123" s="203" t="s">
        <v>0</v>
      </c>
      <c r="C123" s="105" t="s">
        <v>1</v>
      </c>
      <c r="D123" s="105" t="s">
        <v>2</v>
      </c>
      <c r="E123" s="105" t="s">
        <v>3</v>
      </c>
      <c r="F123" s="105" t="s">
        <v>4</v>
      </c>
      <c r="G123" s="105" t="s">
        <v>5</v>
      </c>
      <c r="H123" s="105" t="s">
        <v>6</v>
      </c>
      <c r="I123" s="105" t="s">
        <v>7</v>
      </c>
      <c r="J123" s="105" t="s">
        <v>8</v>
      </c>
      <c r="K123" s="105" t="s">
        <v>9</v>
      </c>
      <c r="L123" s="105" t="s">
        <v>10</v>
      </c>
      <c r="M123" s="105" t="s">
        <v>11</v>
      </c>
      <c r="N123" s="105" t="s">
        <v>12</v>
      </c>
      <c r="O123" s="105" t="s">
        <v>13</v>
      </c>
      <c r="P123" s="105" t="s">
        <v>14</v>
      </c>
      <c r="Q123" s="105" t="s">
        <v>15</v>
      </c>
      <c r="R123" s="105" t="s">
        <v>16</v>
      </c>
      <c r="S123" s="105" t="s">
        <v>17</v>
      </c>
      <c r="T123" s="183" t="s">
        <v>18</v>
      </c>
    </row>
    <row r="124" spans="1:20" s="48" customFormat="1" x14ac:dyDescent="0.3">
      <c r="A124" s="205" t="s">
        <v>279</v>
      </c>
      <c r="B124" s="326">
        <f>B146</f>
        <v>116.90102827763495</v>
      </c>
      <c r="C124" s="330">
        <f>C146</f>
        <v>118.13717948717949</v>
      </c>
      <c r="D124" s="330">
        <f t="shared" ref="D124:T124" si="1">D146</f>
        <v>126.11979823455235</v>
      </c>
      <c r="E124" s="330">
        <f t="shared" si="1"/>
        <v>126.99374217772215</v>
      </c>
      <c r="F124" s="330">
        <f t="shared" si="1"/>
        <v>129.71428571428572</v>
      </c>
      <c r="G124" s="330">
        <f t="shared" si="1"/>
        <v>122.16584158415841</v>
      </c>
      <c r="H124" s="330">
        <f t="shared" si="1"/>
        <v>123.19378881987578</v>
      </c>
      <c r="I124" s="330">
        <f t="shared" si="1"/>
        <v>130.52242424242425</v>
      </c>
      <c r="J124" s="330">
        <f t="shared" si="1"/>
        <v>159.84844868735084</v>
      </c>
      <c r="K124" s="330">
        <f t="shared" si="1"/>
        <v>133.76442307692307</v>
      </c>
      <c r="L124" s="330">
        <f t="shared" si="1"/>
        <v>132.21052631578945</v>
      </c>
      <c r="M124" s="330">
        <f t="shared" si="1"/>
        <v>114.23442449841605</v>
      </c>
      <c r="N124" s="330">
        <f t="shared" si="1"/>
        <v>121.56670010030091</v>
      </c>
      <c r="O124" s="330">
        <f t="shared" si="1"/>
        <v>131.09609895337775</v>
      </c>
      <c r="P124" s="330">
        <f t="shared" si="1"/>
        <v>117.86799620132953</v>
      </c>
      <c r="Q124" s="330">
        <f t="shared" si="1"/>
        <v>116.57894736842105</v>
      </c>
      <c r="R124" s="330">
        <f t="shared" si="1"/>
        <v>121.57341120607789</v>
      </c>
      <c r="S124" s="330">
        <f t="shared" si="1"/>
        <v>122.30792799999999</v>
      </c>
      <c r="T124" s="332">
        <f t="shared" si="1"/>
        <v>124.13877194656487</v>
      </c>
    </row>
    <row r="125" spans="1:20" s="48" customFormat="1" x14ac:dyDescent="0.3">
      <c r="A125" s="206" t="s">
        <v>280</v>
      </c>
      <c r="B125" s="333">
        <f>B151</f>
        <v>75.580976863753207</v>
      </c>
      <c r="C125" s="334">
        <f>C151</f>
        <v>73.629487179487171</v>
      </c>
      <c r="D125" s="334">
        <f t="shared" ref="D125:T125" si="2">D151</f>
        <v>81.087011349306451</v>
      </c>
      <c r="E125" s="334">
        <f t="shared" si="2"/>
        <v>80.501877346683344</v>
      </c>
      <c r="F125" s="334">
        <f t="shared" si="2"/>
        <v>76.328697850821754</v>
      </c>
      <c r="G125" s="334">
        <f t="shared" si="2"/>
        <v>81.076732673267344</v>
      </c>
      <c r="H125" s="334">
        <f t="shared" si="2"/>
        <v>84.27080745341614</v>
      </c>
      <c r="I125" s="334">
        <f t="shared" si="2"/>
        <v>93.002424242424254</v>
      </c>
      <c r="J125" s="334">
        <f t="shared" si="2"/>
        <v>95.510739856801905</v>
      </c>
      <c r="K125" s="334">
        <f t="shared" si="2"/>
        <v>97.984374999999986</v>
      </c>
      <c r="L125" s="334">
        <f t="shared" si="2"/>
        <v>106.75328947368421</v>
      </c>
      <c r="M125" s="334">
        <f t="shared" si="2"/>
        <v>97.230200633579713</v>
      </c>
      <c r="N125" s="334">
        <f t="shared" si="2"/>
        <v>111.13841524573722</v>
      </c>
      <c r="O125" s="334">
        <f t="shared" si="2"/>
        <v>121.45195052331114</v>
      </c>
      <c r="P125" s="334">
        <f t="shared" si="2"/>
        <v>127.23456790123458</v>
      </c>
      <c r="Q125" s="334">
        <f t="shared" si="2"/>
        <v>125.05355493998152</v>
      </c>
      <c r="R125" s="334">
        <f t="shared" si="2"/>
        <v>124.51057739791072</v>
      </c>
      <c r="S125" s="334">
        <f t="shared" si="2"/>
        <v>136.01828799999998</v>
      </c>
      <c r="T125" s="335">
        <f t="shared" si="2"/>
        <v>134.56264122137404</v>
      </c>
    </row>
    <row r="126" spans="1:20" ht="13.2" customHeight="1" x14ac:dyDescent="0.3">
      <c r="A126" s="6"/>
      <c r="B126" s="19"/>
      <c r="D126" s="6"/>
    </row>
    <row r="127" spans="1:20" ht="13.2" customHeight="1" x14ac:dyDescent="0.3">
      <c r="A127" s="6"/>
      <c r="B127" s="19"/>
      <c r="D127" s="6"/>
    </row>
    <row r="128" spans="1:20" ht="13.2" customHeight="1" x14ac:dyDescent="0.3">
      <c r="A128" s="6"/>
      <c r="B128" s="19"/>
      <c r="D128" s="6"/>
    </row>
    <row r="129" spans="1:19" ht="13.2" customHeight="1" x14ac:dyDescent="0.3">
      <c r="A129" s="6"/>
      <c r="B129" s="19"/>
      <c r="D129" s="6"/>
    </row>
    <row r="130" spans="1:19" ht="13.2" customHeight="1" x14ac:dyDescent="0.3">
      <c r="A130" s="6"/>
      <c r="B130" s="19"/>
      <c r="D130" s="6"/>
    </row>
    <row r="131" spans="1:19" x14ac:dyDescent="0.3">
      <c r="A131" s="6"/>
      <c r="B131" s="19"/>
      <c r="D131" s="6"/>
    </row>
    <row r="132" spans="1:19" x14ac:dyDescent="0.3">
      <c r="A132" s="6"/>
      <c r="B132" s="19"/>
      <c r="D132" s="6"/>
    </row>
    <row r="133" spans="1:19" x14ac:dyDescent="0.3">
      <c r="A133" s="6"/>
      <c r="B133" s="19"/>
      <c r="D133" s="6"/>
    </row>
    <row r="134" spans="1:19" x14ac:dyDescent="0.3">
      <c r="A134" s="6"/>
      <c r="B134" s="19"/>
      <c r="D134" s="6"/>
    </row>
    <row r="135" spans="1:19" x14ac:dyDescent="0.3">
      <c r="A135" s="6"/>
      <c r="B135" s="19"/>
      <c r="D135" s="6"/>
    </row>
    <row r="136" spans="1:19" x14ac:dyDescent="0.3">
      <c r="A136" s="6"/>
      <c r="B136" s="19"/>
      <c r="D136" s="6"/>
    </row>
    <row r="137" spans="1:19" x14ac:dyDescent="0.3">
      <c r="A137" s="6"/>
      <c r="B137" s="19"/>
      <c r="D137" s="6"/>
    </row>
    <row r="138" spans="1:19" x14ac:dyDescent="0.3">
      <c r="A138" s="6"/>
      <c r="B138" s="19"/>
      <c r="D138" s="6"/>
    </row>
    <row r="139" spans="1:19" x14ac:dyDescent="0.3">
      <c r="A139" s="6"/>
      <c r="B139" s="19"/>
      <c r="D139" s="6"/>
    </row>
    <row r="140" spans="1:19" x14ac:dyDescent="0.3">
      <c r="A140" s="6"/>
      <c r="B140" s="19"/>
      <c r="D140" s="6"/>
    </row>
    <row r="141" spans="1:19" x14ac:dyDescent="0.3">
      <c r="A141" s="6"/>
      <c r="B141" s="19"/>
      <c r="D141" s="6"/>
    </row>
    <row r="142" spans="1:19" x14ac:dyDescent="0.3">
      <c r="B142" s="19"/>
      <c r="D142" s="6"/>
    </row>
    <row r="143" spans="1:19" s="6" customFormat="1" ht="18" x14ac:dyDescent="0.35">
      <c r="A143" s="201" t="s">
        <v>284</v>
      </c>
      <c r="S143" s="6">
        <v>117.94</v>
      </c>
    </row>
    <row r="144" spans="1:19" s="6" customFormat="1" x14ac:dyDescent="0.3">
      <c r="A144" s="6" t="s">
        <v>555</v>
      </c>
    </row>
    <row r="145" spans="1:96" s="110" customFormat="1" ht="12" customHeight="1" x14ac:dyDescent="0.3">
      <c r="A145" s="152" t="s">
        <v>48</v>
      </c>
      <c r="B145" s="105" t="s">
        <v>0</v>
      </c>
      <c r="C145" s="105" t="s">
        <v>1</v>
      </c>
      <c r="D145" s="105" t="s">
        <v>2</v>
      </c>
      <c r="E145" s="105" t="s">
        <v>3</v>
      </c>
      <c r="F145" s="105" t="s">
        <v>4</v>
      </c>
      <c r="G145" s="105" t="s">
        <v>5</v>
      </c>
      <c r="H145" s="105" t="s">
        <v>6</v>
      </c>
      <c r="I145" s="105" t="s">
        <v>7</v>
      </c>
      <c r="J145" s="105" t="s">
        <v>8</v>
      </c>
      <c r="K145" s="105" t="s">
        <v>9</v>
      </c>
      <c r="L145" s="105" t="s">
        <v>10</v>
      </c>
      <c r="M145" s="105" t="s">
        <v>11</v>
      </c>
      <c r="N145" s="105" t="s">
        <v>12</v>
      </c>
      <c r="O145" s="105" t="s">
        <v>13</v>
      </c>
      <c r="P145" s="105" t="s">
        <v>14</v>
      </c>
      <c r="Q145" s="105" t="s">
        <v>15</v>
      </c>
      <c r="R145" s="105" t="s">
        <v>16</v>
      </c>
      <c r="S145" s="105" t="s">
        <v>17</v>
      </c>
      <c r="T145" s="105" t="s">
        <v>18</v>
      </c>
      <c r="U145" s="125"/>
      <c r="V145" s="56">
        <v>2014</v>
      </c>
      <c r="W145" s="56">
        <v>2015</v>
      </c>
      <c r="X145" s="56">
        <v>2016</v>
      </c>
      <c r="Y145" s="125"/>
      <c r="Z145" s="125"/>
      <c r="AA145" s="153"/>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c r="BI145" s="125"/>
      <c r="BJ145" s="125"/>
      <c r="BK145" s="125"/>
      <c r="BL145" s="125"/>
      <c r="BM145" s="125"/>
      <c r="BN145" s="125"/>
      <c r="BO145" s="125"/>
      <c r="BP145" s="125"/>
      <c r="BQ145" s="125"/>
      <c r="BR145" s="125"/>
      <c r="BS145" s="125"/>
      <c r="BT145" s="125"/>
      <c r="BU145" s="125"/>
      <c r="BV145" s="125"/>
      <c r="BW145" s="125"/>
      <c r="BX145" s="125"/>
      <c r="BY145" s="125"/>
      <c r="BZ145" s="125"/>
      <c r="CA145" s="125"/>
      <c r="CB145" s="125"/>
      <c r="CC145" s="125"/>
      <c r="CD145" s="125"/>
      <c r="CE145" s="125"/>
      <c r="CF145" s="125"/>
      <c r="CG145" s="125"/>
      <c r="CH145" s="125"/>
      <c r="CI145" s="125"/>
      <c r="CJ145" s="125"/>
      <c r="CK145" s="125"/>
      <c r="CL145" s="125"/>
      <c r="CM145" s="125"/>
      <c r="CN145" s="125"/>
      <c r="CO145" s="125"/>
      <c r="CP145" s="125"/>
      <c r="CQ145" s="125"/>
      <c r="CR145" s="125"/>
    </row>
    <row r="146" spans="1:96" s="48" customFormat="1" x14ac:dyDescent="0.3">
      <c r="A146" s="51" t="s">
        <v>201</v>
      </c>
      <c r="B146" s="330">
        <f>(B158/1000)/B184</f>
        <v>116.90102827763495</v>
      </c>
      <c r="C146" s="330">
        <f t="shared" ref="C146:Q146" si="3">(C158/1000)/C184</f>
        <v>118.13717948717949</v>
      </c>
      <c r="D146" s="330">
        <f t="shared" si="3"/>
        <v>126.11979823455235</v>
      </c>
      <c r="E146" s="330">
        <f t="shared" si="3"/>
        <v>126.99374217772215</v>
      </c>
      <c r="F146" s="330">
        <f t="shared" si="3"/>
        <v>129.71428571428572</v>
      </c>
      <c r="G146" s="330">
        <f t="shared" si="3"/>
        <v>122.16584158415841</v>
      </c>
      <c r="H146" s="330">
        <f t="shared" si="3"/>
        <v>123.19378881987578</v>
      </c>
      <c r="I146" s="330">
        <f t="shared" si="3"/>
        <v>130.52242424242425</v>
      </c>
      <c r="J146" s="330">
        <f t="shared" si="3"/>
        <v>159.84844868735084</v>
      </c>
      <c r="K146" s="330">
        <f t="shared" si="3"/>
        <v>133.76442307692307</v>
      </c>
      <c r="L146" s="330">
        <f t="shared" si="3"/>
        <v>132.21052631578945</v>
      </c>
      <c r="M146" s="330">
        <f t="shared" si="3"/>
        <v>114.23442449841605</v>
      </c>
      <c r="N146" s="330">
        <f t="shared" si="3"/>
        <v>121.56670010030091</v>
      </c>
      <c r="O146" s="330">
        <f t="shared" si="3"/>
        <v>131.09609895337775</v>
      </c>
      <c r="P146" s="330">
        <f t="shared" si="3"/>
        <v>117.86799620132953</v>
      </c>
      <c r="Q146" s="330">
        <f t="shared" si="3"/>
        <v>116.57894736842105</v>
      </c>
      <c r="R146" s="330">
        <f>(((R158/1000)*V146)/R184)</f>
        <v>121.57341120607789</v>
      </c>
      <c r="S146" s="330">
        <f>(((S158/1000)*W146)/S184)</f>
        <v>122.30792799999999</v>
      </c>
      <c r="T146" s="330">
        <f>(((T158/1000)*X146)/T184)</f>
        <v>124.13877194656487</v>
      </c>
      <c r="V146" s="56">
        <v>1.046</v>
      </c>
      <c r="W146" s="56">
        <v>1.0369999999999999</v>
      </c>
      <c r="X146" s="56">
        <v>1.0089999999999999</v>
      </c>
    </row>
    <row r="147" spans="1:96" x14ac:dyDescent="0.3">
      <c r="A147" s="51" t="s">
        <v>202</v>
      </c>
      <c r="B147" s="133">
        <f>(B159/1000)/B182</f>
        <v>120.51927710843374</v>
      </c>
      <c r="C147" s="133">
        <f t="shared" ref="C147:Q147" si="4">(C159/1000)/C182</f>
        <v>126.44915254237289</v>
      </c>
      <c r="D147" s="133">
        <f t="shared" si="4"/>
        <v>132.47225501770956</v>
      </c>
      <c r="E147" s="133">
        <f t="shared" si="4"/>
        <v>143.77751479289941</v>
      </c>
      <c r="F147" s="133">
        <f t="shared" si="4"/>
        <v>160.24150485436891</v>
      </c>
      <c r="G147" s="133">
        <f t="shared" si="4"/>
        <v>161.4855421686747</v>
      </c>
      <c r="H147" s="133">
        <f t="shared" si="4"/>
        <v>170.12820512820514</v>
      </c>
      <c r="I147" s="133">
        <f t="shared" si="4"/>
        <v>181.89268867924528</v>
      </c>
      <c r="J147" s="133">
        <f t="shared" si="4"/>
        <v>204.12933025404158</v>
      </c>
      <c r="K147" s="133">
        <f t="shared" si="4"/>
        <v>188.5479768786127</v>
      </c>
      <c r="L147" s="133">
        <f t="shared" si="4"/>
        <v>177.53838280450361</v>
      </c>
      <c r="M147" s="133">
        <f t="shared" si="4"/>
        <v>156.75298804780877</v>
      </c>
      <c r="N147" s="133">
        <f t="shared" si="4"/>
        <v>171.74903846153845</v>
      </c>
      <c r="O147" s="133">
        <f t="shared" si="4"/>
        <v>173.15585585585583</v>
      </c>
      <c r="P147" s="133">
        <f t="shared" si="4"/>
        <v>178.38056312443234</v>
      </c>
      <c r="Q147" s="133">
        <f t="shared" si="4"/>
        <v>185.20612061206123</v>
      </c>
      <c r="R147" s="133">
        <f>(((R159/1000)*V147)/R182)</f>
        <v>205.56421825023517</v>
      </c>
      <c r="S147" s="133">
        <f>(((S159/1000)*W147)/S182)</f>
        <v>214.68205099999997</v>
      </c>
      <c r="T147" s="133">
        <f>(((T159/1000)*X147)/T182)</f>
        <v>222.88361121856863</v>
      </c>
      <c r="V147" s="6">
        <v>1.028</v>
      </c>
      <c r="W147" s="6">
        <v>1.0129999999999999</v>
      </c>
      <c r="X147" s="6">
        <v>1.0089999999999999</v>
      </c>
    </row>
    <row r="148" spans="1:96" s="48" customFormat="1" x14ac:dyDescent="0.3">
      <c r="A148" s="51" t="s">
        <v>34</v>
      </c>
      <c r="B148" s="327">
        <f>B146-B147</f>
        <v>-3.618248830798791</v>
      </c>
      <c r="C148" s="327">
        <f t="shared" ref="C148:T148" si="5">C146-C147</f>
        <v>-8.3119730551933912</v>
      </c>
      <c r="D148" s="327">
        <f t="shared" si="5"/>
        <v>-6.3524567831572085</v>
      </c>
      <c r="E148" s="327">
        <f t="shared" si="5"/>
        <v>-16.783772615177256</v>
      </c>
      <c r="F148" s="327">
        <f t="shared" si="5"/>
        <v>-30.52721914008319</v>
      </c>
      <c r="G148" s="327">
        <f t="shared" si="5"/>
        <v>-39.319700584516283</v>
      </c>
      <c r="H148" s="327">
        <f t="shared" si="5"/>
        <v>-46.934416308329361</v>
      </c>
      <c r="I148" s="327">
        <f t="shared" si="5"/>
        <v>-51.370264436821031</v>
      </c>
      <c r="J148" s="327">
        <f t="shared" si="5"/>
        <v>-44.280881566690738</v>
      </c>
      <c r="K148" s="327">
        <f t="shared" si="5"/>
        <v>-54.783553801689635</v>
      </c>
      <c r="L148" s="327">
        <f t="shared" si="5"/>
        <v>-45.327856488714161</v>
      </c>
      <c r="M148" s="327">
        <f t="shared" si="5"/>
        <v>-42.518563549392724</v>
      </c>
      <c r="N148" s="327">
        <f t="shared" si="5"/>
        <v>-50.182338361237541</v>
      </c>
      <c r="O148" s="327">
        <f t="shared" si="5"/>
        <v>-42.059756902478085</v>
      </c>
      <c r="P148" s="327">
        <f t="shared" si="5"/>
        <v>-60.51256692310281</v>
      </c>
      <c r="Q148" s="327">
        <f t="shared" si="5"/>
        <v>-68.627173243640172</v>
      </c>
      <c r="R148" s="327">
        <f t="shared" si="5"/>
        <v>-83.990807044157279</v>
      </c>
      <c r="S148" s="327">
        <f t="shared" si="5"/>
        <v>-92.374122999999983</v>
      </c>
      <c r="T148" s="327">
        <f t="shared" si="5"/>
        <v>-98.744839272003759</v>
      </c>
      <c r="V148" s="6"/>
      <c r="W148" s="6"/>
      <c r="X148" s="6"/>
    </row>
    <row r="149" spans="1:96" x14ac:dyDescent="0.3">
      <c r="A149" s="4"/>
      <c r="B149" s="21"/>
      <c r="C149" s="21"/>
      <c r="D149" s="21"/>
      <c r="E149" s="21"/>
      <c r="F149" s="21"/>
      <c r="G149" s="21"/>
      <c r="H149" s="21"/>
      <c r="I149" s="21"/>
      <c r="J149" s="21"/>
      <c r="K149" s="21"/>
      <c r="L149" s="21"/>
      <c r="M149" s="21"/>
      <c r="N149" s="21"/>
      <c r="O149" s="21"/>
      <c r="P149" s="21"/>
      <c r="Q149" s="21"/>
      <c r="R149" s="21"/>
      <c r="S149" s="21"/>
      <c r="T149" s="21"/>
      <c r="V149" s="6">
        <v>0.97899999999999998</v>
      </c>
      <c r="W149" s="6">
        <v>0.97599999999999998</v>
      </c>
      <c r="X149" s="6">
        <v>0.996</v>
      </c>
    </row>
    <row r="150" spans="1:96" s="110" customFormat="1" ht="12" customHeight="1" x14ac:dyDescent="0.3">
      <c r="A150" s="154" t="s">
        <v>48</v>
      </c>
      <c r="B150" s="105" t="s">
        <v>0</v>
      </c>
      <c r="C150" s="105" t="s">
        <v>1</v>
      </c>
      <c r="D150" s="105" t="s">
        <v>2</v>
      </c>
      <c r="E150" s="105" t="s">
        <v>3</v>
      </c>
      <c r="F150" s="105" t="s">
        <v>4</v>
      </c>
      <c r="G150" s="105" t="s">
        <v>5</v>
      </c>
      <c r="H150" s="105" t="s">
        <v>6</v>
      </c>
      <c r="I150" s="105" t="s">
        <v>7</v>
      </c>
      <c r="J150" s="105" t="s">
        <v>8</v>
      </c>
      <c r="K150" s="105" t="s">
        <v>9</v>
      </c>
      <c r="L150" s="105" t="s">
        <v>10</v>
      </c>
      <c r="M150" s="105" t="s">
        <v>11</v>
      </c>
      <c r="N150" s="105" t="s">
        <v>12</v>
      </c>
      <c r="O150" s="105" t="s">
        <v>13</v>
      </c>
      <c r="P150" s="105" t="s">
        <v>14</v>
      </c>
      <c r="Q150" s="105" t="s">
        <v>15</v>
      </c>
      <c r="R150" s="105" t="s">
        <v>16</v>
      </c>
      <c r="S150" s="105" t="s">
        <v>17</v>
      </c>
      <c r="T150" s="105" t="s">
        <v>18</v>
      </c>
      <c r="U150" s="125"/>
      <c r="V150" s="6">
        <v>0.99299999999999999</v>
      </c>
      <c r="W150" s="6">
        <v>0.98399999999999999</v>
      </c>
      <c r="X150" s="6">
        <v>0.997</v>
      </c>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5"/>
      <c r="BR150" s="125"/>
      <c r="BS150" s="125"/>
      <c r="BT150" s="125"/>
      <c r="BU150" s="125"/>
      <c r="BV150" s="125"/>
      <c r="BW150" s="125"/>
      <c r="BX150" s="125"/>
      <c r="BY150" s="125"/>
      <c r="BZ150" s="125"/>
      <c r="CA150" s="125"/>
      <c r="CB150" s="125"/>
      <c r="CC150" s="125"/>
      <c r="CD150" s="125"/>
      <c r="CE150" s="125"/>
      <c r="CF150" s="125"/>
      <c r="CG150" s="125"/>
      <c r="CH150" s="125"/>
      <c r="CI150" s="125"/>
      <c r="CJ150" s="125"/>
      <c r="CK150" s="125"/>
      <c r="CL150" s="125"/>
      <c r="CM150" s="125"/>
      <c r="CN150" s="125"/>
      <c r="CO150" s="125"/>
      <c r="CP150" s="125"/>
      <c r="CQ150" s="125"/>
      <c r="CR150" s="125"/>
    </row>
    <row r="151" spans="1:96" s="48" customFormat="1" x14ac:dyDescent="0.3">
      <c r="A151" s="51" t="s">
        <v>203</v>
      </c>
      <c r="B151" s="330">
        <f>(B163/1000)/B184</f>
        <v>75.580976863753207</v>
      </c>
      <c r="C151" s="330">
        <f>(C163/1000)/C184</f>
        <v>73.629487179487171</v>
      </c>
      <c r="D151" s="330">
        <f t="shared" ref="D151:Q151" si="6">(D163/1000)/D184</f>
        <v>81.087011349306451</v>
      </c>
      <c r="E151" s="330">
        <f t="shared" si="6"/>
        <v>80.501877346683344</v>
      </c>
      <c r="F151" s="330">
        <f t="shared" si="6"/>
        <v>76.328697850821754</v>
      </c>
      <c r="G151" s="330">
        <f t="shared" si="6"/>
        <v>81.076732673267344</v>
      </c>
      <c r="H151" s="330">
        <f t="shared" si="6"/>
        <v>84.27080745341614</v>
      </c>
      <c r="I151" s="330">
        <f t="shared" si="6"/>
        <v>93.002424242424254</v>
      </c>
      <c r="J151" s="330">
        <f t="shared" si="6"/>
        <v>95.510739856801905</v>
      </c>
      <c r="K151" s="330">
        <f t="shared" si="6"/>
        <v>97.984374999999986</v>
      </c>
      <c r="L151" s="330">
        <f t="shared" si="6"/>
        <v>106.75328947368421</v>
      </c>
      <c r="M151" s="330">
        <f t="shared" si="6"/>
        <v>97.230200633579713</v>
      </c>
      <c r="N151" s="330">
        <f t="shared" si="6"/>
        <v>111.13841524573722</v>
      </c>
      <c r="O151" s="330">
        <f t="shared" si="6"/>
        <v>121.45195052331114</v>
      </c>
      <c r="P151" s="330">
        <f t="shared" si="6"/>
        <v>127.23456790123458</v>
      </c>
      <c r="Q151" s="330">
        <f t="shared" si="6"/>
        <v>125.05355493998152</v>
      </c>
      <c r="R151" s="330">
        <f>((R163/1000)*V149)/R184</f>
        <v>124.51057739791072</v>
      </c>
      <c r="S151" s="330">
        <f>((S163/1000)*W149)/S184</f>
        <v>136.01828799999998</v>
      </c>
      <c r="T151" s="330">
        <f>((T163/1000)*X149)/T184</f>
        <v>134.56264122137404</v>
      </c>
    </row>
    <row r="152" spans="1:96" x14ac:dyDescent="0.3">
      <c r="A152" s="4" t="s">
        <v>204</v>
      </c>
      <c r="B152" s="331">
        <f>(B164/1000)/B182</f>
        <v>84.191566265060246</v>
      </c>
      <c r="C152" s="331">
        <f>(C164/1000)/C182</f>
        <v>89.791767554479435</v>
      </c>
      <c r="D152" s="331">
        <f t="shared" ref="D152:Q152" si="7">(D164/1000)/D182</f>
        <v>103.26918536009445</v>
      </c>
      <c r="E152" s="331">
        <f t="shared" si="7"/>
        <v>102.96568047337279</v>
      </c>
      <c r="F152" s="331">
        <f t="shared" si="7"/>
        <v>99.889563106796103</v>
      </c>
      <c r="G152" s="331">
        <f t="shared" si="7"/>
        <v>100.23253012048193</v>
      </c>
      <c r="H152" s="331">
        <f t="shared" si="7"/>
        <v>106.93162393162392</v>
      </c>
      <c r="I152" s="331">
        <f t="shared" si="7"/>
        <v>111.73349056603774</v>
      </c>
      <c r="J152" s="331">
        <f t="shared" si="7"/>
        <v>124.63163972286374</v>
      </c>
      <c r="K152" s="331">
        <f t="shared" si="7"/>
        <v>128.42312138728323</v>
      </c>
      <c r="L152" s="331">
        <f t="shared" si="7"/>
        <v>125.55987717502559</v>
      </c>
      <c r="M152" s="331">
        <f t="shared" si="7"/>
        <v>117.12450199203188</v>
      </c>
      <c r="N152" s="331">
        <f t="shared" si="7"/>
        <v>132.62019230769232</v>
      </c>
      <c r="O152" s="331">
        <f t="shared" si="7"/>
        <v>128.25765765765766</v>
      </c>
      <c r="P152" s="331">
        <f t="shared" si="7"/>
        <v>132.76748410535876</v>
      </c>
      <c r="Q152" s="331">
        <f t="shared" si="7"/>
        <v>136.8748874887489</v>
      </c>
      <c r="R152" s="331">
        <f>((R164/1000)*V150)/R182</f>
        <v>140.56134524929445</v>
      </c>
      <c r="S152" s="331">
        <f>((S164/1000)*W150)/S182</f>
        <v>151.21620000000001</v>
      </c>
      <c r="T152" s="331">
        <f>((T164/1000)*X150)/T182</f>
        <v>161.70105802707928</v>
      </c>
    </row>
    <row r="153" spans="1:96" s="48" customFormat="1" x14ac:dyDescent="0.3">
      <c r="A153" s="51" t="s">
        <v>34</v>
      </c>
      <c r="B153" s="327">
        <f>B151-B152</f>
        <v>-8.6105894013070383</v>
      </c>
      <c r="C153" s="327">
        <f t="shared" ref="C153:T153" si="8">C151-C152</f>
        <v>-16.162280374992264</v>
      </c>
      <c r="D153" s="327">
        <f t="shared" si="8"/>
        <v>-22.182174010788003</v>
      </c>
      <c r="E153" s="327">
        <f t="shared" si="8"/>
        <v>-22.463803126689442</v>
      </c>
      <c r="F153" s="327">
        <f t="shared" si="8"/>
        <v>-23.560865255974349</v>
      </c>
      <c r="G153" s="327">
        <f t="shared" si="8"/>
        <v>-19.155797447214582</v>
      </c>
      <c r="H153" s="327">
        <f t="shared" si="8"/>
        <v>-22.660816478207778</v>
      </c>
      <c r="I153" s="327">
        <f t="shared" si="8"/>
        <v>-18.73106632361349</v>
      </c>
      <c r="J153" s="327">
        <f t="shared" si="8"/>
        <v>-29.120899866061833</v>
      </c>
      <c r="K153" s="327">
        <f t="shared" si="8"/>
        <v>-30.438746387283246</v>
      </c>
      <c r="L153" s="327">
        <f t="shared" si="8"/>
        <v>-18.806587701341385</v>
      </c>
      <c r="M153" s="327">
        <f t="shared" si="8"/>
        <v>-19.894301358452168</v>
      </c>
      <c r="N153" s="327">
        <f t="shared" si="8"/>
        <v>-21.4817770619551</v>
      </c>
      <c r="O153" s="327">
        <f t="shared" si="8"/>
        <v>-6.8057071343465196</v>
      </c>
      <c r="P153" s="327">
        <f t="shared" si="8"/>
        <v>-5.5329162041241773</v>
      </c>
      <c r="Q153" s="327">
        <f t="shared" si="8"/>
        <v>-11.821332548767373</v>
      </c>
      <c r="R153" s="327">
        <f t="shared" si="8"/>
        <v>-16.050767851383725</v>
      </c>
      <c r="S153" s="327">
        <f t="shared" si="8"/>
        <v>-15.197912000000031</v>
      </c>
      <c r="T153" s="327">
        <f t="shared" si="8"/>
        <v>-27.138416805705248</v>
      </c>
    </row>
    <row r="154" spans="1:96" x14ac:dyDescent="0.3">
      <c r="A154" s="4"/>
      <c r="B154" s="21"/>
      <c r="C154" s="21"/>
      <c r="D154" s="21"/>
      <c r="E154" s="21"/>
      <c r="F154" s="21"/>
      <c r="G154" s="21"/>
      <c r="H154" s="21"/>
      <c r="I154" s="21"/>
      <c r="J154" s="21"/>
      <c r="K154" s="21"/>
      <c r="L154" s="21"/>
      <c r="M154" s="21"/>
      <c r="N154" s="21"/>
      <c r="O154" s="21"/>
      <c r="P154" s="21"/>
      <c r="Q154" s="21"/>
      <c r="R154" s="463" t="s">
        <v>556</v>
      </c>
      <c r="S154" s="462"/>
      <c r="T154" s="462"/>
    </row>
    <row r="155" spans="1:96" x14ac:dyDescent="0.3">
      <c r="A155" s="4" t="s">
        <v>200</v>
      </c>
      <c r="Q155" s="91" t="s">
        <v>557</v>
      </c>
      <c r="R155" s="62"/>
      <c r="S155" s="21"/>
    </row>
    <row r="156" spans="1:96" s="6" customFormat="1" x14ac:dyDescent="0.3">
      <c r="A156" s="6" t="s">
        <v>177</v>
      </c>
    </row>
    <row r="157" spans="1:96" s="110" customFormat="1" ht="12" customHeight="1" x14ac:dyDescent="0.3">
      <c r="A157" s="152" t="s">
        <v>48</v>
      </c>
      <c r="B157" s="105" t="s">
        <v>0</v>
      </c>
      <c r="C157" s="105" t="s">
        <v>1</v>
      </c>
      <c r="D157" s="105" t="s">
        <v>2</v>
      </c>
      <c r="E157" s="105" t="s">
        <v>3</v>
      </c>
      <c r="F157" s="105" t="s">
        <v>4</v>
      </c>
      <c r="G157" s="105" t="s">
        <v>5</v>
      </c>
      <c r="H157" s="105" t="s">
        <v>6</v>
      </c>
      <c r="I157" s="105" t="s">
        <v>7</v>
      </c>
      <c r="J157" s="105" t="s">
        <v>8</v>
      </c>
      <c r="K157" s="105" t="s">
        <v>9</v>
      </c>
      <c r="L157" s="105" t="s">
        <v>10</v>
      </c>
      <c r="M157" s="105" t="s">
        <v>11</v>
      </c>
      <c r="N157" s="105" t="s">
        <v>12</v>
      </c>
      <c r="O157" s="105" t="s">
        <v>13</v>
      </c>
      <c r="P157" s="105" t="s">
        <v>14</v>
      </c>
      <c r="Q157" s="105" t="s">
        <v>15</v>
      </c>
      <c r="R157" s="105" t="s">
        <v>16</v>
      </c>
      <c r="S157" s="105" t="s">
        <v>17</v>
      </c>
      <c r="T157" s="105" t="s">
        <v>18</v>
      </c>
      <c r="U157" s="125"/>
      <c r="V157" s="125"/>
      <c r="W157" s="125"/>
      <c r="X157" s="153"/>
      <c r="Y157" s="125"/>
      <c r="Z157" s="125"/>
      <c r="AA157" s="153"/>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c r="BI157" s="125"/>
      <c r="BJ157" s="125"/>
      <c r="BK157" s="125"/>
      <c r="BL157" s="125"/>
      <c r="BM157" s="125"/>
      <c r="BN157" s="125"/>
      <c r="BO157" s="125"/>
      <c r="BP157" s="125"/>
      <c r="BQ157" s="125"/>
      <c r="BR157" s="125"/>
      <c r="BS157" s="125"/>
      <c r="BT157" s="125"/>
      <c r="BU157" s="125"/>
      <c r="BV157" s="125"/>
      <c r="BW157" s="125"/>
      <c r="BX157" s="125"/>
      <c r="BY157" s="125"/>
      <c r="BZ157" s="125"/>
      <c r="CA157" s="125"/>
      <c r="CB157" s="125"/>
      <c r="CC157" s="125"/>
      <c r="CD157" s="125"/>
      <c r="CE157" s="125"/>
      <c r="CF157" s="125"/>
      <c r="CG157" s="125"/>
      <c r="CH157" s="125"/>
      <c r="CI157" s="125"/>
      <c r="CJ157" s="125"/>
      <c r="CK157" s="125"/>
      <c r="CL157" s="125"/>
      <c r="CM157" s="125"/>
      <c r="CN157" s="125"/>
      <c r="CO157" s="125"/>
      <c r="CP157" s="125"/>
      <c r="CQ157" s="125"/>
      <c r="CR157" s="125"/>
    </row>
    <row r="158" spans="1:96" s="48" customFormat="1" x14ac:dyDescent="0.3">
      <c r="A158" s="51" t="s">
        <v>66</v>
      </c>
      <c r="B158" s="60">
        <v>90949</v>
      </c>
      <c r="C158" s="60">
        <v>92147</v>
      </c>
      <c r="D158" s="60">
        <v>100013</v>
      </c>
      <c r="E158" s="60">
        <v>101468</v>
      </c>
      <c r="F158" s="60">
        <v>102604</v>
      </c>
      <c r="G158" s="60">
        <v>98710</v>
      </c>
      <c r="H158" s="60">
        <v>99171</v>
      </c>
      <c r="I158" s="60">
        <v>107681</v>
      </c>
      <c r="J158" s="60">
        <v>133953</v>
      </c>
      <c r="K158" s="60">
        <v>111292</v>
      </c>
      <c r="L158" s="60">
        <v>120576</v>
      </c>
      <c r="M158" s="60">
        <v>108180</v>
      </c>
      <c r="N158" s="60">
        <v>121202</v>
      </c>
      <c r="O158" s="60">
        <v>137782</v>
      </c>
      <c r="P158" s="60">
        <v>124115</v>
      </c>
      <c r="Q158" s="60">
        <v>126255</v>
      </c>
      <c r="R158" s="60">
        <v>122387</v>
      </c>
      <c r="S158" s="60">
        <v>117944</v>
      </c>
      <c r="T158" s="60">
        <v>128937</v>
      </c>
    </row>
    <row r="159" spans="1:96" x14ac:dyDescent="0.3">
      <c r="A159" s="4" t="s">
        <v>67</v>
      </c>
      <c r="B159" s="29">
        <v>100031</v>
      </c>
      <c r="C159" s="29">
        <v>104447</v>
      </c>
      <c r="D159" s="29">
        <v>112204</v>
      </c>
      <c r="E159" s="29">
        <v>121492</v>
      </c>
      <c r="F159" s="29">
        <v>132039</v>
      </c>
      <c r="G159" s="29">
        <v>134033</v>
      </c>
      <c r="H159" s="29">
        <v>139335</v>
      </c>
      <c r="I159" s="29">
        <v>154245</v>
      </c>
      <c r="J159" s="29">
        <v>176776</v>
      </c>
      <c r="K159" s="29">
        <v>163094</v>
      </c>
      <c r="L159" s="29">
        <v>173455</v>
      </c>
      <c r="M159" s="29">
        <v>157380</v>
      </c>
      <c r="N159" s="29">
        <v>178619</v>
      </c>
      <c r="O159" s="29">
        <v>192203</v>
      </c>
      <c r="P159" s="29">
        <v>196397</v>
      </c>
      <c r="Q159" s="29">
        <v>205764</v>
      </c>
      <c r="R159" s="29">
        <v>212563</v>
      </c>
      <c r="S159" s="29">
        <v>211927</v>
      </c>
      <c r="T159" s="29">
        <v>228406</v>
      </c>
    </row>
    <row r="160" spans="1:96" x14ac:dyDescent="0.3">
      <c r="A160" s="4" t="s">
        <v>34</v>
      </c>
      <c r="B160" s="21">
        <f>B158-B159</f>
        <v>-9082</v>
      </c>
      <c r="C160" s="21">
        <f t="shared" ref="C160:T160" si="9">C158-C159</f>
        <v>-12300</v>
      </c>
      <c r="D160" s="21">
        <f t="shared" si="9"/>
        <v>-12191</v>
      </c>
      <c r="E160" s="21">
        <f t="shared" si="9"/>
        <v>-20024</v>
      </c>
      <c r="F160" s="21">
        <f t="shared" si="9"/>
        <v>-29435</v>
      </c>
      <c r="G160" s="21">
        <f t="shared" si="9"/>
        <v>-35323</v>
      </c>
      <c r="H160" s="21">
        <f t="shared" si="9"/>
        <v>-40164</v>
      </c>
      <c r="I160" s="21">
        <f t="shared" si="9"/>
        <v>-46564</v>
      </c>
      <c r="J160" s="21">
        <f t="shared" si="9"/>
        <v>-42823</v>
      </c>
      <c r="K160" s="21">
        <f t="shared" si="9"/>
        <v>-51802</v>
      </c>
      <c r="L160" s="21">
        <f t="shared" si="9"/>
        <v>-52879</v>
      </c>
      <c r="M160" s="21">
        <f t="shared" si="9"/>
        <v>-49200</v>
      </c>
      <c r="N160" s="21">
        <f t="shared" si="9"/>
        <v>-57417</v>
      </c>
      <c r="O160" s="21">
        <f t="shared" si="9"/>
        <v>-54421</v>
      </c>
      <c r="P160" s="21">
        <f t="shared" si="9"/>
        <v>-72282</v>
      </c>
      <c r="Q160" s="21">
        <f t="shared" si="9"/>
        <v>-79509</v>
      </c>
      <c r="R160" s="21">
        <f t="shared" si="9"/>
        <v>-90176</v>
      </c>
      <c r="S160" s="21">
        <f t="shared" si="9"/>
        <v>-93983</v>
      </c>
      <c r="T160" s="21">
        <f t="shared" si="9"/>
        <v>-99469</v>
      </c>
    </row>
    <row r="161" spans="1:96" x14ac:dyDescent="0.3">
      <c r="A161" s="4"/>
      <c r="B161" s="21"/>
      <c r="C161" s="21"/>
      <c r="D161" s="21"/>
      <c r="E161" s="21"/>
      <c r="F161" s="21"/>
      <c r="G161" s="21"/>
      <c r="H161" s="21"/>
      <c r="I161" s="21"/>
      <c r="J161" s="21"/>
      <c r="K161" s="21"/>
      <c r="L161" s="21"/>
      <c r="M161" s="21"/>
      <c r="N161" s="21"/>
      <c r="O161" s="21"/>
      <c r="P161" s="21"/>
      <c r="Q161" s="21"/>
      <c r="R161" s="21"/>
      <c r="S161" s="21"/>
      <c r="T161" s="21"/>
    </row>
    <row r="162" spans="1:96" s="110" customFormat="1" ht="12" customHeight="1" x14ac:dyDescent="0.3">
      <c r="A162" s="152" t="s">
        <v>48</v>
      </c>
      <c r="B162" s="105" t="s">
        <v>0</v>
      </c>
      <c r="C162" s="105" t="s">
        <v>1</v>
      </c>
      <c r="D162" s="105" t="s">
        <v>2</v>
      </c>
      <c r="E162" s="105" t="s">
        <v>3</v>
      </c>
      <c r="F162" s="105" t="s">
        <v>4</v>
      </c>
      <c r="G162" s="105" t="s">
        <v>5</v>
      </c>
      <c r="H162" s="105" t="s">
        <v>6</v>
      </c>
      <c r="I162" s="105" t="s">
        <v>7</v>
      </c>
      <c r="J162" s="105" t="s">
        <v>8</v>
      </c>
      <c r="K162" s="105" t="s">
        <v>9</v>
      </c>
      <c r="L162" s="105" t="s">
        <v>10</v>
      </c>
      <c r="M162" s="105" t="s">
        <v>11</v>
      </c>
      <c r="N162" s="105" t="s">
        <v>12</v>
      </c>
      <c r="O162" s="105" t="s">
        <v>13</v>
      </c>
      <c r="P162" s="105" t="s">
        <v>14</v>
      </c>
      <c r="Q162" s="105" t="s">
        <v>15</v>
      </c>
      <c r="R162" s="105" t="s">
        <v>16</v>
      </c>
      <c r="S162" s="105" t="s">
        <v>17</v>
      </c>
      <c r="T162" s="105" t="s">
        <v>18</v>
      </c>
      <c r="U162" s="125"/>
      <c r="V162" s="125"/>
      <c r="W162" s="125"/>
      <c r="X162" s="153"/>
      <c r="Y162" s="125"/>
      <c r="Z162" s="125"/>
      <c r="AA162" s="153"/>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25"/>
      <c r="BM162" s="125"/>
      <c r="BN162" s="125"/>
      <c r="BO162" s="125"/>
      <c r="BP162" s="125"/>
      <c r="BQ162" s="125"/>
      <c r="BR162" s="125"/>
      <c r="BS162" s="125"/>
      <c r="BT162" s="125"/>
      <c r="BU162" s="125"/>
      <c r="BV162" s="125"/>
      <c r="BW162" s="125"/>
      <c r="BX162" s="125"/>
      <c r="BY162" s="125"/>
      <c r="BZ162" s="125"/>
      <c r="CA162" s="125"/>
      <c r="CB162" s="125"/>
      <c r="CC162" s="125"/>
      <c r="CD162" s="125"/>
      <c r="CE162" s="125"/>
      <c r="CF162" s="125"/>
      <c r="CG162" s="125"/>
      <c r="CH162" s="125"/>
      <c r="CI162" s="125"/>
      <c r="CJ162" s="125"/>
      <c r="CK162" s="125"/>
      <c r="CL162" s="125"/>
      <c r="CM162" s="125"/>
      <c r="CN162" s="125"/>
      <c r="CO162" s="125"/>
      <c r="CP162" s="125"/>
      <c r="CQ162" s="125"/>
      <c r="CR162" s="125"/>
    </row>
    <row r="163" spans="1:96" s="48" customFormat="1" x14ac:dyDescent="0.3">
      <c r="A163" s="51" t="s">
        <v>68</v>
      </c>
      <c r="B163" s="60">
        <v>58802</v>
      </c>
      <c r="C163" s="60">
        <v>57431</v>
      </c>
      <c r="D163" s="60">
        <v>64302</v>
      </c>
      <c r="E163" s="60">
        <v>64321</v>
      </c>
      <c r="F163" s="60">
        <v>60376</v>
      </c>
      <c r="G163" s="60">
        <v>65510</v>
      </c>
      <c r="H163" s="60">
        <v>67838</v>
      </c>
      <c r="I163" s="60">
        <v>76727</v>
      </c>
      <c r="J163" s="60">
        <v>80038</v>
      </c>
      <c r="K163" s="60">
        <v>81523</v>
      </c>
      <c r="L163" s="60">
        <v>97359</v>
      </c>
      <c r="M163" s="60">
        <v>92077</v>
      </c>
      <c r="N163" s="60">
        <v>110805</v>
      </c>
      <c r="O163" s="60">
        <v>127646</v>
      </c>
      <c r="P163" s="60">
        <v>133978</v>
      </c>
      <c r="Q163" s="60">
        <v>135433</v>
      </c>
      <c r="R163" s="60">
        <v>133922</v>
      </c>
      <c r="S163" s="60">
        <v>139363</v>
      </c>
      <c r="T163" s="60">
        <v>141588</v>
      </c>
    </row>
    <row r="164" spans="1:96" x14ac:dyDescent="0.3">
      <c r="A164" s="4" t="s">
        <v>69</v>
      </c>
      <c r="B164" s="99">
        <v>69879</v>
      </c>
      <c r="C164" s="99">
        <v>74168</v>
      </c>
      <c r="D164" s="99">
        <v>87469</v>
      </c>
      <c r="E164" s="99">
        <v>87006</v>
      </c>
      <c r="F164" s="99">
        <v>82309</v>
      </c>
      <c r="G164" s="99">
        <v>83193</v>
      </c>
      <c r="H164" s="99">
        <v>87577</v>
      </c>
      <c r="I164" s="99">
        <v>94750</v>
      </c>
      <c r="J164" s="99">
        <v>107931</v>
      </c>
      <c r="K164" s="99">
        <v>111086</v>
      </c>
      <c r="L164" s="99">
        <v>122672</v>
      </c>
      <c r="M164" s="99">
        <v>117593</v>
      </c>
      <c r="N164" s="99">
        <v>137925</v>
      </c>
      <c r="O164" s="99">
        <v>142366</v>
      </c>
      <c r="P164" s="99">
        <v>146177</v>
      </c>
      <c r="Q164" s="99">
        <v>152068</v>
      </c>
      <c r="R164" s="99">
        <v>150470</v>
      </c>
      <c r="S164" s="99">
        <v>153675</v>
      </c>
      <c r="T164" s="99">
        <v>167702</v>
      </c>
    </row>
    <row r="165" spans="1:96" x14ac:dyDescent="0.3">
      <c r="A165" s="4" t="s">
        <v>34</v>
      </c>
      <c r="B165" s="21">
        <f>B163-B164</f>
        <v>-11077</v>
      </c>
      <c r="C165" s="21">
        <f t="shared" ref="C165:T165" si="10">C163-C164</f>
        <v>-16737</v>
      </c>
      <c r="D165" s="21">
        <f t="shared" si="10"/>
        <v>-23167</v>
      </c>
      <c r="E165" s="21">
        <f t="shared" si="10"/>
        <v>-22685</v>
      </c>
      <c r="F165" s="21">
        <f t="shared" si="10"/>
        <v>-21933</v>
      </c>
      <c r="G165" s="21">
        <f t="shared" si="10"/>
        <v>-17683</v>
      </c>
      <c r="H165" s="21">
        <f t="shared" si="10"/>
        <v>-19739</v>
      </c>
      <c r="I165" s="21">
        <f t="shared" si="10"/>
        <v>-18023</v>
      </c>
      <c r="J165" s="21">
        <f t="shared" si="10"/>
        <v>-27893</v>
      </c>
      <c r="K165" s="21">
        <f t="shared" si="10"/>
        <v>-29563</v>
      </c>
      <c r="L165" s="21">
        <f t="shared" si="10"/>
        <v>-25313</v>
      </c>
      <c r="M165" s="21">
        <f t="shared" si="10"/>
        <v>-25516</v>
      </c>
      <c r="N165" s="21">
        <f t="shared" si="10"/>
        <v>-27120</v>
      </c>
      <c r="O165" s="21">
        <f t="shared" si="10"/>
        <v>-14720</v>
      </c>
      <c r="P165" s="21">
        <f t="shared" si="10"/>
        <v>-12199</v>
      </c>
      <c r="Q165" s="21">
        <f t="shared" si="10"/>
        <v>-16635</v>
      </c>
      <c r="R165" s="21">
        <f t="shared" si="10"/>
        <v>-16548</v>
      </c>
      <c r="S165" s="21">
        <f t="shared" si="10"/>
        <v>-14312</v>
      </c>
      <c r="T165" s="21">
        <f t="shared" si="10"/>
        <v>-26114</v>
      </c>
    </row>
    <row r="166" spans="1:96" x14ac:dyDescent="0.3">
      <c r="A166" s="4"/>
      <c r="B166" s="21"/>
      <c r="C166" s="21"/>
      <c r="D166" s="21"/>
      <c r="E166" s="21"/>
      <c r="F166" s="21"/>
      <c r="G166" s="21"/>
      <c r="H166" s="21"/>
      <c r="I166" s="21"/>
      <c r="J166" s="21"/>
      <c r="K166" s="21"/>
      <c r="L166" s="21"/>
      <c r="M166" s="21"/>
      <c r="N166" s="21"/>
      <c r="O166" s="21"/>
      <c r="P166" s="21"/>
      <c r="Q166" s="21"/>
      <c r="R166" s="21"/>
      <c r="S166" s="21"/>
      <c r="T166" s="21"/>
    </row>
    <row r="167" spans="1:96" x14ac:dyDescent="0.3">
      <c r="A167" s="4" t="s">
        <v>267</v>
      </c>
    </row>
    <row r="168" spans="1:96" ht="37.200000000000003" customHeight="1" x14ac:dyDescent="0.3">
      <c r="A168" s="991" t="s">
        <v>268</v>
      </c>
      <c r="B168" s="991"/>
      <c r="C168" s="991"/>
      <c r="D168" s="991"/>
      <c r="E168" s="991"/>
      <c r="F168" s="991"/>
      <c r="G168" s="991"/>
    </row>
    <row r="169" spans="1:96" s="6" customFormat="1" x14ac:dyDescent="0.3"/>
    <row r="170" spans="1:96" ht="18" x14ac:dyDescent="0.35">
      <c r="A170" s="201" t="s">
        <v>465</v>
      </c>
    </row>
    <row r="171" spans="1:96" x14ac:dyDescent="0.3">
      <c r="A171" s="2" t="s">
        <v>487</v>
      </c>
    </row>
    <row r="173" spans="1:96" s="106" customFormat="1" x14ac:dyDescent="0.3">
      <c r="A173" s="104" t="s">
        <v>48</v>
      </c>
      <c r="B173" s="105" t="s">
        <v>0</v>
      </c>
      <c r="C173" s="105" t="s">
        <v>1</v>
      </c>
      <c r="D173" s="105" t="s">
        <v>2</v>
      </c>
      <c r="E173" s="105">
        <v>2001</v>
      </c>
      <c r="F173" s="105" t="s">
        <v>4</v>
      </c>
      <c r="G173" s="105" t="s">
        <v>5</v>
      </c>
      <c r="H173" s="105" t="s">
        <v>6</v>
      </c>
      <c r="I173" s="105" t="s">
        <v>7</v>
      </c>
      <c r="J173" s="105" t="s">
        <v>8</v>
      </c>
      <c r="K173" s="105" t="s">
        <v>9</v>
      </c>
      <c r="L173" s="105" t="s">
        <v>10</v>
      </c>
      <c r="M173" s="105" t="s">
        <v>11</v>
      </c>
      <c r="N173" s="105" t="s">
        <v>12</v>
      </c>
      <c r="O173" s="105" t="s">
        <v>13</v>
      </c>
      <c r="P173" s="105" t="s">
        <v>14</v>
      </c>
      <c r="Q173" s="105" t="s">
        <v>15</v>
      </c>
      <c r="R173" s="105" t="s">
        <v>16</v>
      </c>
      <c r="S173" s="105" t="s">
        <v>17</v>
      </c>
      <c r="T173" s="105" t="s">
        <v>18</v>
      </c>
    </row>
    <row r="174" spans="1:96" x14ac:dyDescent="0.3">
      <c r="A174" s="31" t="s">
        <v>460</v>
      </c>
      <c r="B174" s="91">
        <v>70.900000000000006</v>
      </c>
      <c r="C174" s="91">
        <v>71.212000000000003</v>
      </c>
      <c r="D174" s="91">
        <v>72.688000000000002</v>
      </c>
      <c r="E174" s="91">
        <v>73.581000000000003</v>
      </c>
      <c r="F174" s="91">
        <v>75.302999999999997</v>
      </c>
      <c r="G174" s="91">
        <v>76.950999999999993</v>
      </c>
      <c r="H174" s="91">
        <v>79.093000000000004</v>
      </c>
      <c r="I174" s="91">
        <v>81.158000000000001</v>
      </c>
      <c r="J174" s="91">
        <v>83.698999999999998</v>
      </c>
      <c r="K174" s="91">
        <v>85.777000000000001</v>
      </c>
      <c r="L174" s="91">
        <v>88.007999999999996</v>
      </c>
      <c r="M174" s="91">
        <v>89.287000000000006</v>
      </c>
      <c r="N174" s="91">
        <v>90.918000000000006</v>
      </c>
      <c r="O174" s="91">
        <v>92.227999999999994</v>
      </c>
      <c r="P174" s="91">
        <v>94.144000000000005</v>
      </c>
      <c r="Q174" s="91">
        <v>95.751999999999995</v>
      </c>
      <c r="R174" s="91">
        <v>97.14</v>
      </c>
      <c r="S174" s="91">
        <v>97.793999999999997</v>
      </c>
      <c r="T174" s="91">
        <v>100</v>
      </c>
    </row>
    <row r="175" spans="1:96" x14ac:dyDescent="0.3">
      <c r="A175" s="91" t="s">
        <v>461</v>
      </c>
      <c r="B175" s="62">
        <f>100/B174</f>
        <v>1.4104372355430181</v>
      </c>
      <c r="C175" s="62">
        <f>100/C174</f>
        <v>1.4042577093748243</v>
      </c>
      <c r="D175" s="62">
        <f t="shared" ref="D175:T175" si="11">100/D174</f>
        <v>1.37574290116663</v>
      </c>
      <c r="E175" s="62">
        <f t="shared" si="11"/>
        <v>1.3590464929805248</v>
      </c>
      <c r="F175" s="62">
        <f t="shared" si="11"/>
        <v>1.3279683412347449</v>
      </c>
      <c r="G175" s="62">
        <f t="shared" si="11"/>
        <v>1.2995282712375409</v>
      </c>
      <c r="H175" s="62">
        <f t="shared" si="11"/>
        <v>1.264334391159774</v>
      </c>
      <c r="I175" s="62">
        <f t="shared" si="11"/>
        <v>1.2321644200202075</v>
      </c>
      <c r="J175" s="62">
        <f t="shared" si="11"/>
        <v>1.1947574045090146</v>
      </c>
      <c r="K175" s="62">
        <f t="shared" si="11"/>
        <v>1.165813679657717</v>
      </c>
      <c r="L175" s="62">
        <f t="shared" si="11"/>
        <v>1.1362603399690938</v>
      </c>
      <c r="M175" s="62">
        <f t="shared" si="11"/>
        <v>1.1199838722322397</v>
      </c>
      <c r="N175" s="62">
        <f t="shared" si="11"/>
        <v>1.0998922105633646</v>
      </c>
      <c r="O175" s="62">
        <f t="shared" si="11"/>
        <v>1.0842694192652991</v>
      </c>
      <c r="P175" s="62">
        <f t="shared" si="11"/>
        <v>1.0622025832766824</v>
      </c>
      <c r="Q175" s="62">
        <f t="shared" si="11"/>
        <v>1.0443646085721447</v>
      </c>
      <c r="R175" s="62">
        <f t="shared" si="11"/>
        <v>1.0294420424130122</v>
      </c>
      <c r="S175" s="62">
        <f t="shared" si="11"/>
        <v>1.0225576211219503</v>
      </c>
      <c r="T175" s="62">
        <f t="shared" si="11"/>
        <v>1</v>
      </c>
    </row>
    <row r="178" spans="1:20" ht="18" x14ac:dyDescent="0.35">
      <c r="A178" s="201" t="s">
        <v>485</v>
      </c>
    </row>
    <row r="179" spans="1:20" ht="28.8" customHeight="1" x14ac:dyDescent="0.3">
      <c r="A179" s="989" t="s">
        <v>486</v>
      </c>
      <c r="B179" s="989"/>
      <c r="C179" s="989"/>
      <c r="D179" s="989"/>
      <c r="E179" s="989"/>
      <c r="F179" s="989"/>
      <c r="G179" s="989"/>
      <c r="H179" s="989"/>
      <c r="I179" s="989"/>
      <c r="J179" s="989"/>
    </row>
    <row r="180" spans="1:20" s="106" customFormat="1" x14ac:dyDescent="0.3">
      <c r="A180" s="104" t="s">
        <v>48</v>
      </c>
      <c r="B180" s="105" t="s">
        <v>0</v>
      </c>
      <c r="C180" s="105" t="s">
        <v>1</v>
      </c>
      <c r="D180" s="105" t="s">
        <v>2</v>
      </c>
      <c r="E180" s="105">
        <v>2001</v>
      </c>
      <c r="F180" s="105" t="s">
        <v>4</v>
      </c>
      <c r="G180" s="105" t="s">
        <v>5</v>
      </c>
      <c r="H180" s="105" t="s">
        <v>6</v>
      </c>
      <c r="I180" s="105" t="s">
        <v>7</v>
      </c>
      <c r="J180" s="105" t="s">
        <v>8</v>
      </c>
      <c r="K180" s="105" t="s">
        <v>9</v>
      </c>
      <c r="L180" s="105" t="s">
        <v>10</v>
      </c>
      <c r="M180" s="105" t="s">
        <v>11</v>
      </c>
      <c r="N180" s="105" t="s">
        <v>12</v>
      </c>
      <c r="O180" s="105" t="s">
        <v>13</v>
      </c>
      <c r="P180" s="105" t="s">
        <v>14</v>
      </c>
      <c r="Q180" s="105" t="s">
        <v>15</v>
      </c>
      <c r="R180" s="105" t="s">
        <v>16</v>
      </c>
      <c r="S180" s="105" t="s">
        <v>17</v>
      </c>
      <c r="T180" s="105" t="s">
        <v>18</v>
      </c>
    </row>
    <row r="181" spans="1:20" x14ac:dyDescent="0.3">
      <c r="A181" s="31" t="s">
        <v>481</v>
      </c>
      <c r="B181" s="91">
        <f>83</f>
        <v>83</v>
      </c>
      <c r="C181" s="91">
        <v>82.6</v>
      </c>
      <c r="D181" s="91">
        <v>84.7</v>
      </c>
      <c r="E181" s="91">
        <v>84.5</v>
      </c>
      <c r="F181" s="91">
        <v>82.4</v>
      </c>
      <c r="G181" s="91">
        <v>83</v>
      </c>
      <c r="H181" s="91">
        <v>81.900000000000006</v>
      </c>
      <c r="I181" s="91">
        <v>84.8</v>
      </c>
      <c r="J181" s="91">
        <v>86.6</v>
      </c>
      <c r="K181" s="91">
        <v>86.5</v>
      </c>
      <c r="L181" s="91">
        <v>97.7</v>
      </c>
      <c r="M181" s="91">
        <v>100.4</v>
      </c>
      <c r="N181" s="91">
        <v>104</v>
      </c>
      <c r="O181" s="91">
        <v>111</v>
      </c>
      <c r="P181" s="91">
        <v>110.1</v>
      </c>
      <c r="Q181" s="91">
        <v>111.1</v>
      </c>
      <c r="R181" s="91">
        <v>106.3</v>
      </c>
      <c r="S181" s="91">
        <v>100</v>
      </c>
      <c r="T181" s="91">
        <v>103.4</v>
      </c>
    </row>
    <row r="182" spans="1:20" x14ac:dyDescent="0.3">
      <c r="A182" s="31" t="s">
        <v>483</v>
      </c>
      <c r="B182" s="91">
        <f>B181/100</f>
        <v>0.83</v>
      </c>
      <c r="C182" s="91">
        <f>C181/100</f>
        <v>0.82599999999999996</v>
      </c>
      <c r="D182" s="91">
        <f>D181/100</f>
        <v>0.84699999999999998</v>
      </c>
      <c r="E182" s="91">
        <f>E181/100</f>
        <v>0.84499999999999997</v>
      </c>
      <c r="F182" s="91">
        <f t="shared" ref="F182:T182" si="12">F181/100</f>
        <v>0.82400000000000007</v>
      </c>
      <c r="G182" s="91">
        <f t="shared" si="12"/>
        <v>0.83</v>
      </c>
      <c r="H182" s="91">
        <f t="shared" si="12"/>
        <v>0.81900000000000006</v>
      </c>
      <c r="I182" s="91">
        <f t="shared" si="12"/>
        <v>0.84799999999999998</v>
      </c>
      <c r="J182" s="91">
        <f t="shared" si="12"/>
        <v>0.86599999999999999</v>
      </c>
      <c r="K182" s="91">
        <f t="shared" si="12"/>
        <v>0.86499999999999999</v>
      </c>
      <c r="L182" s="91">
        <f t="shared" si="12"/>
        <v>0.97699999999999998</v>
      </c>
      <c r="M182" s="91">
        <f t="shared" si="12"/>
        <v>1.004</v>
      </c>
      <c r="N182" s="91">
        <f t="shared" si="12"/>
        <v>1.04</v>
      </c>
      <c r="O182" s="91">
        <f t="shared" si="12"/>
        <v>1.1100000000000001</v>
      </c>
      <c r="P182" s="91">
        <f t="shared" si="12"/>
        <v>1.101</v>
      </c>
      <c r="Q182" s="91">
        <f t="shared" si="12"/>
        <v>1.111</v>
      </c>
      <c r="R182" s="91">
        <f t="shared" si="12"/>
        <v>1.0629999999999999</v>
      </c>
      <c r="S182" s="91">
        <f t="shared" si="12"/>
        <v>1</v>
      </c>
      <c r="T182" s="91">
        <f t="shared" si="12"/>
        <v>1.034</v>
      </c>
    </row>
    <row r="183" spans="1:20" x14ac:dyDescent="0.3">
      <c r="A183" s="91" t="s">
        <v>482</v>
      </c>
      <c r="B183" s="62">
        <v>77.8</v>
      </c>
      <c r="C183" s="62">
        <v>78</v>
      </c>
      <c r="D183" s="62">
        <v>79.3</v>
      </c>
      <c r="E183" s="62">
        <v>79.900000000000006</v>
      </c>
      <c r="F183" s="62">
        <v>79.099999999999994</v>
      </c>
      <c r="G183" s="62">
        <v>80.8</v>
      </c>
      <c r="H183" s="62">
        <v>80.5</v>
      </c>
      <c r="I183" s="62">
        <v>82.5</v>
      </c>
      <c r="J183" s="62">
        <v>83.8</v>
      </c>
      <c r="K183" s="62">
        <v>83.2</v>
      </c>
      <c r="L183" s="62">
        <v>91.2</v>
      </c>
      <c r="M183" s="62">
        <v>94.7</v>
      </c>
      <c r="N183" s="62">
        <v>99.7</v>
      </c>
      <c r="O183" s="62">
        <v>105.1</v>
      </c>
      <c r="P183" s="62">
        <v>105.3</v>
      </c>
      <c r="Q183" s="62">
        <v>108.3</v>
      </c>
      <c r="R183" s="62">
        <v>105.3</v>
      </c>
      <c r="S183" s="62">
        <v>100</v>
      </c>
      <c r="T183" s="62">
        <v>104.8</v>
      </c>
    </row>
    <row r="184" spans="1:20" x14ac:dyDescent="0.3">
      <c r="A184" s="91" t="s">
        <v>484</v>
      </c>
      <c r="B184" s="91">
        <f>B183/100</f>
        <v>0.77800000000000002</v>
      </c>
      <c r="C184" s="91">
        <f>C183/100</f>
        <v>0.78</v>
      </c>
      <c r="D184" s="91">
        <f>D183/100</f>
        <v>0.79299999999999993</v>
      </c>
      <c r="E184" s="91">
        <f>E183/100</f>
        <v>0.79900000000000004</v>
      </c>
      <c r="F184" s="91">
        <f t="shared" ref="F184:T184" si="13">F183/100</f>
        <v>0.79099999999999993</v>
      </c>
      <c r="G184" s="91">
        <f t="shared" si="13"/>
        <v>0.80799999999999994</v>
      </c>
      <c r="H184" s="91">
        <f t="shared" si="13"/>
        <v>0.80500000000000005</v>
      </c>
      <c r="I184" s="91">
        <f t="shared" si="13"/>
        <v>0.82499999999999996</v>
      </c>
      <c r="J184" s="91">
        <f t="shared" si="13"/>
        <v>0.83799999999999997</v>
      </c>
      <c r="K184" s="91">
        <f t="shared" si="13"/>
        <v>0.83200000000000007</v>
      </c>
      <c r="L184" s="91">
        <f t="shared" si="13"/>
        <v>0.91200000000000003</v>
      </c>
      <c r="M184" s="91">
        <f t="shared" si="13"/>
        <v>0.94700000000000006</v>
      </c>
      <c r="N184" s="91">
        <f t="shared" si="13"/>
        <v>0.997</v>
      </c>
      <c r="O184" s="91">
        <f t="shared" si="13"/>
        <v>1.0509999999999999</v>
      </c>
      <c r="P184" s="91">
        <f t="shared" si="13"/>
        <v>1.0529999999999999</v>
      </c>
      <c r="Q184" s="91">
        <f t="shared" si="13"/>
        <v>1.083</v>
      </c>
      <c r="R184" s="91">
        <f t="shared" si="13"/>
        <v>1.0529999999999999</v>
      </c>
      <c r="S184" s="91">
        <f t="shared" si="13"/>
        <v>1</v>
      </c>
      <c r="T184" s="91">
        <f t="shared" si="13"/>
        <v>1.048</v>
      </c>
    </row>
    <row r="186" spans="1:20" x14ac:dyDescent="0.3">
      <c r="A186" s="92" t="s">
        <v>482</v>
      </c>
    </row>
    <row r="187" spans="1:20" x14ac:dyDescent="0.3">
      <c r="A187" s="92" t="s">
        <v>481</v>
      </c>
    </row>
  </sheetData>
  <mergeCells count="9">
    <mergeCell ref="A179:J179"/>
    <mergeCell ref="A2:M2"/>
    <mergeCell ref="A93:D93"/>
    <mergeCell ref="A168:G168"/>
    <mergeCell ref="A66:J66"/>
    <mergeCell ref="A67:J67"/>
    <mergeCell ref="A69:E69"/>
    <mergeCell ref="A70:J70"/>
    <mergeCell ref="A4:M4"/>
  </mergeCells>
  <hyperlinks>
    <hyperlink ref="A62" r:id="rId1" display="Source" xr:uid="{38509545-87BD-451A-8F02-0DC65A5C10A7}"/>
    <hyperlink ref="B97" r:id="rId2" display="ONS" xr:uid="{46664E3D-BD74-47F1-B2CF-F260AEA583B5}"/>
    <hyperlink ref="A40" r:id="rId3" display="Source for historic non-EU data" xr:uid="{62B0DEB8-46D9-4719-A69E-D3C2CE040EF5}"/>
    <hyperlink ref="A39" r:id="rId4" display="Source for historic EU data" xr:uid="{9E3F9B1A-5F51-4166-AC69-8981889ED9D0}"/>
    <hyperlink ref="A24" r:id="rId5" display="Source for historic non-EU data" xr:uid="{087E8731-CADB-4C12-9670-E5F1D0B2F887}"/>
    <hyperlink ref="A23" r:id="rId6" display="Source for historic EU data" xr:uid="{60B53673-7BA7-4464-8AF1-0C01390909FD}"/>
    <hyperlink ref="A186" r:id="rId7" xr:uid="{1032611F-A93D-487E-8F53-017BF1731706}"/>
    <hyperlink ref="A187" r:id="rId8" xr:uid="{D0154814-5E4A-42BC-8CBD-528B15F6B8E4}"/>
  </hyperlinks>
  <pageMargins left="0.7" right="0.7" top="0.75" bottom="0.75" header="0.3" footer="0.3"/>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191"/>
  <sheetViews>
    <sheetView zoomScale="90" zoomScaleNormal="90" workbookViewId="0">
      <selection activeCell="E188" sqref="E188"/>
    </sheetView>
  </sheetViews>
  <sheetFormatPr defaultRowHeight="14.4" x14ac:dyDescent="0.3"/>
  <cols>
    <col min="1" max="1" width="28" style="12" customWidth="1"/>
    <col min="2" max="2" width="18.21875" customWidth="1"/>
    <col min="29" max="29" width="9.21875" bestFit="1" customWidth="1"/>
  </cols>
  <sheetData>
    <row r="1" spans="1:98" s="68" customFormat="1" ht="54" customHeight="1" x14ac:dyDescent="0.45">
      <c r="A1" s="68" t="s">
        <v>136</v>
      </c>
    </row>
    <row r="2" spans="1:98" x14ac:dyDescent="0.3">
      <c r="A2" t="s">
        <v>118</v>
      </c>
    </row>
    <row r="3" spans="1:98" ht="88.2" customHeight="1" x14ac:dyDescent="0.3">
      <c r="A3" s="993" t="s">
        <v>560</v>
      </c>
      <c r="B3" s="993"/>
      <c r="C3" s="993"/>
      <c r="D3" s="993"/>
      <c r="E3" s="993"/>
      <c r="F3" s="993"/>
      <c r="G3" s="993"/>
      <c r="H3" s="993"/>
      <c r="I3" s="993"/>
      <c r="J3" s="993"/>
      <c r="K3" s="993"/>
      <c r="L3" s="993"/>
      <c r="M3" s="993"/>
      <c r="N3" s="993"/>
      <c r="O3" s="993"/>
      <c r="P3" s="993"/>
      <c r="Q3" s="993"/>
      <c r="R3" s="993"/>
    </row>
    <row r="4" spans="1:98" s="85" customFormat="1" ht="18" x14ac:dyDescent="0.35">
      <c r="A4" s="84" t="s">
        <v>171</v>
      </c>
    </row>
    <row r="5" spans="1:98" s="44" customFormat="1" x14ac:dyDescent="0.3">
      <c r="A5" s="76" t="s">
        <v>142</v>
      </c>
    </row>
    <row r="6" spans="1:98" s="39" customFormat="1" x14ac:dyDescent="0.3">
      <c r="A6" s="40"/>
      <c r="B6" s="40"/>
      <c r="C6" s="66" t="s">
        <v>94</v>
      </c>
      <c r="D6" s="37" t="s">
        <v>0</v>
      </c>
      <c r="E6" s="37" t="s">
        <v>1</v>
      </c>
      <c r="F6" s="37" t="s">
        <v>2</v>
      </c>
      <c r="G6" s="37" t="s">
        <v>3</v>
      </c>
      <c r="H6" s="37" t="s">
        <v>4</v>
      </c>
      <c r="I6" s="37" t="s">
        <v>5</v>
      </c>
      <c r="J6" s="37" t="s">
        <v>6</v>
      </c>
      <c r="K6" s="37" t="s">
        <v>7</v>
      </c>
      <c r="L6" s="37" t="s">
        <v>8</v>
      </c>
      <c r="M6" s="37" t="s">
        <v>9</v>
      </c>
      <c r="N6" s="37" t="s">
        <v>10</v>
      </c>
      <c r="O6" s="37" t="s">
        <v>11</v>
      </c>
      <c r="P6" s="37" t="s">
        <v>12</v>
      </c>
      <c r="Q6" s="37" t="s">
        <v>13</v>
      </c>
      <c r="R6" s="37" t="s">
        <v>14</v>
      </c>
      <c r="S6" s="37" t="s">
        <v>15</v>
      </c>
      <c r="T6" s="37" t="s">
        <v>16</v>
      </c>
      <c r="U6" s="37" t="s">
        <v>17</v>
      </c>
      <c r="V6" s="38" t="s">
        <v>18</v>
      </c>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row>
    <row r="7" spans="1:98" s="7" customFormat="1" x14ac:dyDescent="0.3">
      <c r="A7" s="31" t="s">
        <v>112</v>
      </c>
      <c r="B7" s="31"/>
      <c r="C7" s="31" t="s">
        <v>104</v>
      </c>
      <c r="D7" s="4">
        <v>163997</v>
      </c>
      <c r="E7" s="4">
        <v>166539</v>
      </c>
      <c r="F7" s="4">
        <v>188130</v>
      </c>
      <c r="G7" s="4">
        <v>189624</v>
      </c>
      <c r="H7" s="4">
        <v>186776</v>
      </c>
      <c r="I7" s="4">
        <v>188546</v>
      </c>
      <c r="J7" s="4">
        <v>191608</v>
      </c>
      <c r="K7" s="4">
        <v>212053</v>
      </c>
      <c r="L7" s="4">
        <v>243957</v>
      </c>
      <c r="M7" s="4">
        <v>222964</v>
      </c>
      <c r="N7" s="4">
        <v>254577</v>
      </c>
      <c r="O7" s="4">
        <v>229107</v>
      </c>
      <c r="P7" s="4">
        <v>270196</v>
      </c>
      <c r="Q7" s="4">
        <v>308171</v>
      </c>
      <c r="R7" s="4">
        <v>301621</v>
      </c>
      <c r="S7" s="4">
        <v>303147</v>
      </c>
      <c r="T7" s="4">
        <v>292894</v>
      </c>
      <c r="U7" s="4">
        <v>287584</v>
      </c>
      <c r="V7" s="4">
        <v>301405</v>
      </c>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row>
    <row r="8" spans="1:98" s="2" customFormat="1" x14ac:dyDescent="0.3">
      <c r="A8" s="31" t="s">
        <v>141</v>
      </c>
      <c r="B8" s="31"/>
      <c r="C8" s="73" t="s">
        <v>140</v>
      </c>
      <c r="D8" s="4">
        <v>186340</v>
      </c>
      <c r="E8" s="4">
        <v>195957</v>
      </c>
      <c r="F8" s="4">
        <v>221602</v>
      </c>
      <c r="G8" s="4">
        <v>231537</v>
      </c>
      <c r="H8" s="4">
        <v>235729</v>
      </c>
      <c r="I8" s="4">
        <v>239505</v>
      </c>
      <c r="J8" s="4">
        <v>253549</v>
      </c>
      <c r="K8" s="4">
        <v>282213</v>
      </c>
      <c r="L8" s="4">
        <v>322920</v>
      </c>
      <c r="M8" s="4">
        <v>313504</v>
      </c>
      <c r="N8" s="4">
        <v>349603</v>
      </c>
      <c r="O8" s="4">
        <v>315731</v>
      </c>
      <c r="P8" s="4">
        <v>367580</v>
      </c>
      <c r="Q8" s="4">
        <v>403126</v>
      </c>
      <c r="R8" s="4">
        <v>412528</v>
      </c>
      <c r="S8" s="4">
        <v>423811</v>
      </c>
      <c r="T8" s="4">
        <v>415469</v>
      </c>
      <c r="U8" s="4">
        <v>407304</v>
      </c>
      <c r="V8" s="4">
        <v>435472</v>
      </c>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row>
    <row r="9" spans="1:98" s="2" customFormat="1" x14ac:dyDescent="0.3">
      <c r="A9" s="31"/>
      <c r="B9" s="31"/>
      <c r="C9" s="73"/>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row>
    <row r="10" spans="1:98" s="39" customFormat="1" x14ac:dyDescent="0.3">
      <c r="A10" s="54" t="s">
        <v>162</v>
      </c>
      <c r="B10" s="40"/>
      <c r="C10" s="66" t="s">
        <v>94</v>
      </c>
      <c r="D10" s="37" t="s">
        <v>0</v>
      </c>
      <c r="E10" s="37" t="s">
        <v>1</v>
      </c>
      <c r="F10" s="37" t="s">
        <v>2</v>
      </c>
      <c r="G10" s="37" t="s">
        <v>3</v>
      </c>
      <c r="H10" s="37" t="s">
        <v>4</v>
      </c>
      <c r="I10" s="37" t="s">
        <v>5</v>
      </c>
      <c r="J10" s="37" t="s">
        <v>6</v>
      </c>
      <c r="K10" s="37" t="s">
        <v>7</v>
      </c>
      <c r="L10" s="37" t="s">
        <v>8</v>
      </c>
      <c r="M10" s="37" t="s">
        <v>9</v>
      </c>
      <c r="N10" s="37" t="s">
        <v>10</v>
      </c>
      <c r="O10" s="37" t="s">
        <v>11</v>
      </c>
      <c r="P10" s="37" t="s">
        <v>12</v>
      </c>
      <c r="Q10" s="37" t="s">
        <v>13</v>
      </c>
      <c r="R10" s="37" t="s">
        <v>14</v>
      </c>
      <c r="S10" s="37" t="s">
        <v>15</v>
      </c>
      <c r="T10" s="37" t="s">
        <v>16</v>
      </c>
      <c r="U10" s="37" t="s">
        <v>17</v>
      </c>
      <c r="V10" s="38" t="s">
        <v>18</v>
      </c>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row>
    <row r="11" spans="1:98" s="4" customFormat="1" ht="12" customHeight="1" x14ac:dyDescent="0.25">
      <c r="A11" s="31" t="s">
        <v>163</v>
      </c>
      <c r="B11" s="31"/>
      <c r="C11" s="32" t="s">
        <v>159</v>
      </c>
      <c r="D11" s="4">
        <v>99851</v>
      </c>
      <c r="E11" s="4">
        <v>101942</v>
      </c>
      <c r="F11" s="4">
        <v>113108</v>
      </c>
      <c r="G11" s="4">
        <v>115127</v>
      </c>
      <c r="H11" s="4">
        <v>115662</v>
      </c>
      <c r="I11" s="4">
        <v>112381</v>
      </c>
      <c r="J11" s="4">
        <v>112923</v>
      </c>
      <c r="K11" s="4">
        <v>123069</v>
      </c>
      <c r="L11" s="4">
        <v>151826</v>
      </c>
      <c r="M11" s="4">
        <v>128507</v>
      </c>
      <c r="N11" s="4">
        <v>142811</v>
      </c>
      <c r="O11" s="4">
        <v>125501</v>
      </c>
      <c r="P11" s="4">
        <v>145173</v>
      </c>
      <c r="Q11" s="4">
        <v>165085</v>
      </c>
      <c r="R11" s="4">
        <v>150685</v>
      </c>
      <c r="S11" s="4">
        <v>151256</v>
      </c>
      <c r="T11" s="4">
        <v>145472</v>
      </c>
      <c r="U11" s="4">
        <v>133957</v>
      </c>
      <c r="V11" s="4">
        <v>144175</v>
      </c>
      <c r="X11" s="4" t="s">
        <v>547</v>
      </c>
    </row>
    <row r="12" spans="1:98" s="2" customFormat="1" x14ac:dyDescent="0.3">
      <c r="A12" s="31" t="s">
        <v>164</v>
      </c>
      <c r="B12" s="31"/>
      <c r="C12" s="26" t="s">
        <v>160</v>
      </c>
      <c r="D12" s="4">
        <v>105698</v>
      </c>
      <c r="E12" s="4">
        <v>110110</v>
      </c>
      <c r="F12" s="4">
        <v>118548</v>
      </c>
      <c r="G12" s="4">
        <v>128310</v>
      </c>
      <c r="H12" s="4">
        <v>138825</v>
      </c>
      <c r="I12" s="4">
        <v>140712</v>
      </c>
      <c r="J12" s="4">
        <v>146257</v>
      </c>
      <c r="K12" s="4">
        <v>161921</v>
      </c>
      <c r="L12" s="4">
        <v>185105</v>
      </c>
      <c r="M12" s="4">
        <v>172514</v>
      </c>
      <c r="N12" s="4">
        <v>184751</v>
      </c>
      <c r="O12" s="4">
        <v>166062</v>
      </c>
      <c r="P12" s="4">
        <v>189072</v>
      </c>
      <c r="Q12" s="4">
        <v>204555</v>
      </c>
      <c r="R12" s="4">
        <v>209039</v>
      </c>
      <c r="S12" s="4">
        <v>220664</v>
      </c>
      <c r="T12" s="4">
        <v>224734</v>
      </c>
      <c r="U12" s="4">
        <v>222912</v>
      </c>
      <c r="V12" s="4">
        <v>239804</v>
      </c>
      <c r="W12" s="4"/>
      <c r="X12" s="4" t="s">
        <v>543</v>
      </c>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row>
    <row r="13" spans="1:98" s="2" customFormat="1" x14ac:dyDescent="0.3">
      <c r="A13" s="31"/>
      <c r="B13" s="31"/>
      <c r="C13" s="26"/>
      <c r="D13" s="4"/>
      <c r="E13" s="4"/>
      <c r="F13" s="4"/>
      <c r="G13" s="4"/>
      <c r="H13" s="4"/>
      <c r="I13" s="4"/>
      <c r="J13" s="4"/>
      <c r="K13" s="4"/>
      <c r="L13" s="4"/>
      <c r="M13" s="4"/>
      <c r="N13" s="4"/>
      <c r="O13" s="4"/>
      <c r="P13" s="4"/>
      <c r="Q13" s="4"/>
      <c r="R13" s="4"/>
      <c r="S13" s="422" t="s">
        <v>545</v>
      </c>
      <c r="T13" s="397">
        <v>231008</v>
      </c>
      <c r="U13" s="397">
        <v>225888</v>
      </c>
      <c r="V13" s="430">
        <v>241935</v>
      </c>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row>
    <row r="14" spans="1:98" s="2" customFormat="1" x14ac:dyDescent="0.3">
      <c r="A14" s="31"/>
      <c r="B14" s="31"/>
      <c r="C14" s="26"/>
      <c r="D14" s="4"/>
      <c r="E14" s="4"/>
      <c r="F14" s="4"/>
      <c r="G14" s="4"/>
      <c r="H14" s="4"/>
      <c r="I14" s="4"/>
      <c r="J14" s="4"/>
      <c r="K14" s="4"/>
      <c r="L14" s="4"/>
      <c r="M14" s="4"/>
      <c r="N14" s="4"/>
      <c r="O14" s="4"/>
      <c r="P14" s="4"/>
      <c r="Q14" s="4"/>
      <c r="R14" s="4"/>
      <c r="S14" s="431" t="s">
        <v>546</v>
      </c>
      <c r="T14" s="432">
        <v>152195</v>
      </c>
      <c r="U14" s="432">
        <v>138865</v>
      </c>
      <c r="V14" s="433">
        <v>145471</v>
      </c>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row>
    <row r="15" spans="1:98" s="39" customFormat="1" x14ac:dyDescent="0.3">
      <c r="A15" s="38" t="s">
        <v>161</v>
      </c>
      <c r="B15" s="40"/>
      <c r="C15" s="66" t="s">
        <v>94</v>
      </c>
      <c r="D15" s="37" t="s">
        <v>0</v>
      </c>
      <c r="E15" s="37" t="s">
        <v>1</v>
      </c>
      <c r="F15" s="37" t="s">
        <v>2</v>
      </c>
      <c r="G15" s="37" t="s">
        <v>3</v>
      </c>
      <c r="H15" s="37" t="s">
        <v>4</v>
      </c>
      <c r="I15" s="37" t="s">
        <v>5</v>
      </c>
      <c r="J15" s="37" t="s">
        <v>6</v>
      </c>
      <c r="K15" s="37" t="s">
        <v>7</v>
      </c>
      <c r="L15" s="37" t="s">
        <v>8</v>
      </c>
      <c r="M15" s="37" t="s">
        <v>9</v>
      </c>
      <c r="N15" s="37" t="s">
        <v>10</v>
      </c>
      <c r="O15" s="37" t="s">
        <v>11</v>
      </c>
      <c r="P15" s="37" t="s">
        <v>12</v>
      </c>
      <c r="Q15" s="37" t="s">
        <v>13</v>
      </c>
      <c r="R15" s="37" t="s">
        <v>14</v>
      </c>
      <c r="S15" s="37" t="s">
        <v>15</v>
      </c>
      <c r="T15" s="37" t="s">
        <v>16</v>
      </c>
      <c r="U15" s="37" t="s">
        <v>17</v>
      </c>
      <c r="V15" s="38" t="s">
        <v>18</v>
      </c>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row>
    <row r="16" spans="1:98" s="2" customFormat="1" x14ac:dyDescent="0.3">
      <c r="A16" s="31" t="s">
        <v>167</v>
      </c>
      <c r="B16" s="31"/>
      <c r="C16" s="26" t="s">
        <v>165</v>
      </c>
      <c r="D16" s="4">
        <v>64146</v>
      </c>
      <c r="E16" s="4">
        <v>64597</v>
      </c>
      <c r="F16" s="4">
        <v>75022</v>
      </c>
      <c r="G16" s="4">
        <v>74497</v>
      </c>
      <c r="H16" s="4">
        <v>71114</v>
      </c>
      <c r="I16" s="4">
        <v>76165</v>
      </c>
      <c r="J16" s="4">
        <v>78685</v>
      </c>
      <c r="K16" s="4">
        <v>88984</v>
      </c>
      <c r="L16" s="4">
        <v>92131</v>
      </c>
      <c r="M16" s="4">
        <v>94457</v>
      </c>
      <c r="N16" s="4">
        <v>111766</v>
      </c>
      <c r="O16" s="4">
        <v>103606</v>
      </c>
      <c r="P16" s="4">
        <v>125023</v>
      </c>
      <c r="Q16" s="4">
        <v>143086</v>
      </c>
      <c r="R16" s="4">
        <v>150936</v>
      </c>
      <c r="S16" s="4">
        <v>151891</v>
      </c>
      <c r="T16" s="4">
        <v>147422</v>
      </c>
      <c r="U16" s="4">
        <v>153627</v>
      </c>
      <c r="V16" s="4">
        <v>157230</v>
      </c>
      <c r="W16" s="4"/>
      <c r="X16" s="4" t="s">
        <v>542</v>
      </c>
      <c r="Y16" s="4"/>
      <c r="Z16" s="4"/>
      <c r="AA16" s="4"/>
      <c r="AB16" s="325" t="s">
        <v>265</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row>
    <row r="17" spans="1:98" s="2" customFormat="1" x14ac:dyDescent="0.3">
      <c r="A17" s="31" t="s">
        <v>168</v>
      </c>
      <c r="B17" s="31"/>
      <c r="C17" s="32" t="s">
        <v>166</v>
      </c>
      <c r="D17" s="4">
        <v>80642</v>
      </c>
      <c r="E17" s="4">
        <v>85847</v>
      </c>
      <c r="F17" s="4">
        <v>103054</v>
      </c>
      <c r="G17" s="4">
        <v>103227</v>
      </c>
      <c r="H17" s="4">
        <v>96904</v>
      </c>
      <c r="I17" s="4">
        <v>98793</v>
      </c>
      <c r="J17" s="4">
        <v>107292</v>
      </c>
      <c r="K17" s="4">
        <v>120292</v>
      </c>
      <c r="L17" s="4">
        <v>137815</v>
      </c>
      <c r="M17" s="4">
        <v>140990</v>
      </c>
      <c r="N17" s="4">
        <v>164852</v>
      </c>
      <c r="O17" s="4">
        <v>149669</v>
      </c>
      <c r="P17" s="4">
        <v>178508</v>
      </c>
      <c r="Q17" s="4">
        <v>198571</v>
      </c>
      <c r="R17" s="4">
        <v>203489</v>
      </c>
      <c r="S17" s="4">
        <v>203147</v>
      </c>
      <c r="T17" s="4">
        <v>190735</v>
      </c>
      <c r="U17" s="4">
        <v>184392</v>
      </c>
      <c r="V17" s="4">
        <v>195668</v>
      </c>
      <c r="W17" s="4"/>
      <c r="X17" s="4" t="s">
        <v>550</v>
      </c>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row>
    <row r="18" spans="1:98" s="2" customFormat="1" ht="15" thickBot="1" x14ac:dyDescent="0.35">
      <c r="A18" s="31"/>
      <c r="B18" s="31"/>
      <c r="C18" s="32"/>
      <c r="D18" s="4"/>
      <c r="E18" s="4"/>
      <c r="F18" s="4"/>
      <c r="G18" s="4"/>
      <c r="H18" s="4"/>
      <c r="I18" s="4"/>
      <c r="J18" s="4"/>
      <c r="K18" s="4"/>
      <c r="L18" s="4"/>
      <c r="M18" s="4"/>
      <c r="N18" s="4"/>
      <c r="O18" s="4"/>
      <c r="P18" s="4"/>
      <c r="Q18" s="4"/>
      <c r="R18" s="4"/>
      <c r="S18" s="422" t="s">
        <v>545</v>
      </c>
      <c r="T18" s="397">
        <v>189420</v>
      </c>
      <c r="U18" s="397">
        <v>181508</v>
      </c>
      <c r="V18" s="430">
        <v>195627</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row>
    <row r="19" spans="1:98" s="2" customFormat="1" ht="15" thickBot="1" x14ac:dyDescent="0.35">
      <c r="A19" s="31"/>
      <c r="B19" s="31"/>
      <c r="C19" s="73"/>
      <c r="D19" s="4"/>
      <c r="E19" s="4"/>
      <c r="F19" s="4"/>
      <c r="G19" s="4"/>
      <c r="H19" s="4"/>
      <c r="I19" s="4"/>
      <c r="J19" s="4"/>
      <c r="K19" s="4"/>
      <c r="L19" s="4"/>
      <c r="M19" s="4"/>
      <c r="N19" s="4"/>
      <c r="O19" s="4"/>
      <c r="P19" s="4"/>
      <c r="Q19" s="4"/>
      <c r="R19" s="4"/>
      <c r="S19" s="431" t="s">
        <v>546</v>
      </c>
      <c r="T19" s="432">
        <v>144391</v>
      </c>
      <c r="U19" s="432">
        <v>149905</v>
      </c>
      <c r="V19" s="433">
        <v>156596</v>
      </c>
      <c r="W19" s="404"/>
      <c r="X19" s="403" t="s">
        <v>545</v>
      </c>
      <c r="Y19" s="421" t="s">
        <v>546</v>
      </c>
      <c r="Z19" s="4"/>
      <c r="AA19" s="418">
        <v>2014</v>
      </c>
      <c r="AB19" s="419">
        <v>2015</v>
      </c>
      <c r="AC19" s="419">
        <v>2016</v>
      </c>
      <c r="AD19" s="419"/>
      <c r="AE19" s="420" t="s">
        <v>551</v>
      </c>
      <c r="AF19" s="4"/>
      <c r="AG19" s="4"/>
      <c r="AH19" s="4"/>
      <c r="AI19" s="4"/>
      <c r="AJ19" s="4" t="s">
        <v>552</v>
      </c>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row>
    <row r="20" spans="1:98" s="2" customFormat="1" ht="15" thickBot="1" x14ac:dyDescent="0.35">
      <c r="A20" s="31"/>
      <c r="B20" s="31"/>
      <c r="C20" s="73"/>
      <c r="D20" s="4"/>
      <c r="E20" s="4"/>
      <c r="F20" s="4"/>
      <c r="G20" s="4"/>
      <c r="H20" s="4"/>
      <c r="I20" s="4"/>
      <c r="J20" s="4"/>
      <c r="K20" s="4"/>
      <c r="L20" s="4"/>
      <c r="M20" s="4"/>
      <c r="N20" s="4"/>
      <c r="O20" s="4"/>
      <c r="P20" s="4"/>
      <c r="Q20" s="422" t="s">
        <v>137</v>
      </c>
      <c r="R20" s="51" t="s">
        <v>545</v>
      </c>
      <c r="S20" s="51" t="s">
        <v>544</v>
      </c>
      <c r="T20" s="397">
        <f>T13-T12</f>
        <v>6274</v>
      </c>
      <c r="U20" s="397">
        <f>U13-U12</f>
        <v>2976</v>
      </c>
      <c r="V20" s="397">
        <f>V13-V12</f>
        <v>2131</v>
      </c>
      <c r="W20" s="423" t="s">
        <v>137</v>
      </c>
      <c r="X20" s="423">
        <f>(T13+U13+V13)/3</f>
        <v>232943.66666666666</v>
      </c>
      <c r="Y20" s="424">
        <f>(T14+U14+V14)/3</f>
        <v>145510.33333333334</v>
      </c>
      <c r="Z20" s="4"/>
      <c r="AA20" s="399"/>
      <c r="AB20" s="4"/>
      <c r="AC20" s="4"/>
      <c r="AD20" s="4"/>
      <c r="AE20" s="400"/>
      <c r="AF20" s="4"/>
      <c r="AG20" s="4">
        <v>100</v>
      </c>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row>
    <row r="21" spans="1:98" s="89" customFormat="1" ht="16.2" thickBot="1" x14ac:dyDescent="0.35">
      <c r="A21" s="86" t="s">
        <v>170</v>
      </c>
      <c r="B21" s="86"/>
      <c r="C21" s="87"/>
      <c r="D21" s="88"/>
      <c r="E21" s="88"/>
      <c r="F21" s="88"/>
      <c r="G21" s="88"/>
      <c r="H21" s="88"/>
      <c r="I21" s="88"/>
      <c r="J21" s="88"/>
      <c r="K21" s="88"/>
      <c r="L21" s="88"/>
      <c r="M21" s="88"/>
      <c r="N21" s="88"/>
      <c r="O21" s="88"/>
      <c r="P21" s="88"/>
      <c r="Q21" s="425"/>
      <c r="R21" s="88" t="s">
        <v>546</v>
      </c>
      <c r="S21" s="88"/>
      <c r="T21" s="408">
        <f>T14-T11</f>
        <v>6723</v>
      </c>
      <c r="U21" s="408">
        <f>U14-U11</f>
        <v>4908</v>
      </c>
      <c r="V21" s="408">
        <f>V14-V11</f>
        <v>1296</v>
      </c>
      <c r="W21" s="399"/>
      <c r="X21" s="401">
        <f>(T20+U20+V20)/3</f>
        <v>3793.6666666666665</v>
      </c>
      <c r="Y21" s="426">
        <f>(T21+U21+V21)/3</f>
        <v>4309</v>
      </c>
      <c r="Z21" s="88" t="s">
        <v>546</v>
      </c>
      <c r="AA21" s="414">
        <f>T21/T11</f>
        <v>4.6215079190497138E-2</v>
      </c>
      <c r="AB21" s="415">
        <f>U21/U11</f>
        <v>3.6638622841658142E-2</v>
      </c>
      <c r="AC21" s="415">
        <f>V21/V11</f>
        <v>8.9890757759667067E-3</v>
      </c>
      <c r="AD21" s="416"/>
      <c r="AE21" s="434">
        <f>(AA21+AB21+AC21)/3</f>
        <v>3.0614259269373997E-2</v>
      </c>
      <c r="AF21" s="88"/>
      <c r="AG21" s="88"/>
      <c r="AH21" s="88"/>
      <c r="AI21" s="88"/>
      <c r="AJ21" s="449">
        <v>1.046</v>
      </c>
      <c r="AK21" s="450">
        <v>1.0369999999999999</v>
      </c>
      <c r="AL21" s="451">
        <v>1.0089999999999999</v>
      </c>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row>
    <row r="22" spans="1:98" s="89" customFormat="1" ht="16.2" thickBot="1" x14ac:dyDescent="0.35">
      <c r="A22" s="86"/>
      <c r="B22" s="86"/>
      <c r="C22" s="87"/>
      <c r="D22" s="88"/>
      <c r="E22" s="88"/>
      <c r="F22" s="88"/>
      <c r="G22" s="88"/>
      <c r="H22" s="88"/>
      <c r="I22" s="88"/>
      <c r="J22" s="88"/>
      <c r="K22" s="88"/>
      <c r="L22" s="88"/>
      <c r="M22" s="88"/>
      <c r="N22" s="88"/>
      <c r="O22" s="88"/>
      <c r="P22" s="88"/>
      <c r="Q22" s="425"/>
      <c r="R22" s="88"/>
      <c r="S22" s="88"/>
      <c r="T22" s="88"/>
      <c r="U22" s="88"/>
      <c r="V22" s="88"/>
      <c r="W22" s="405" t="s">
        <v>548</v>
      </c>
      <c r="X22" s="407">
        <f>X21/X20</f>
        <v>1.6285768662237365E-2</v>
      </c>
      <c r="Y22" s="410">
        <f>Y21/Y20</f>
        <v>2.9613017174038039E-2</v>
      </c>
      <c r="Z22" s="88" t="s">
        <v>545</v>
      </c>
      <c r="AA22" s="411">
        <f>T20/T12</f>
        <v>2.7917449073126453E-2</v>
      </c>
      <c r="AB22" s="412">
        <f>U20/U12</f>
        <v>1.3350559862187769E-2</v>
      </c>
      <c r="AC22" s="412">
        <f>V20/V12</f>
        <v>8.8864239128621705E-3</v>
      </c>
      <c r="AD22" s="413"/>
      <c r="AE22" s="417">
        <f>(AA22+AB22+AC22)/3</f>
        <v>1.6718144282725465E-2</v>
      </c>
      <c r="AF22" s="88"/>
      <c r="AG22" s="88"/>
      <c r="AH22" s="88"/>
      <c r="AI22" s="88"/>
      <c r="AJ22" s="441">
        <v>1.028</v>
      </c>
      <c r="AK22" s="442">
        <v>1.0129999999999999</v>
      </c>
      <c r="AL22" s="443">
        <v>1.0089999999999999</v>
      </c>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row>
    <row r="23" spans="1:98" s="89" customFormat="1" ht="16.2" thickBot="1" x14ac:dyDescent="0.35">
      <c r="A23" s="86"/>
      <c r="B23" s="86"/>
      <c r="C23" s="87"/>
      <c r="D23" s="88"/>
      <c r="E23" s="88"/>
      <c r="F23" s="88"/>
      <c r="G23" s="88"/>
      <c r="H23" s="88"/>
      <c r="I23" s="88"/>
      <c r="J23" s="88"/>
      <c r="K23" s="88"/>
      <c r="L23" s="88"/>
      <c r="M23" s="88"/>
      <c r="N23" s="88"/>
      <c r="O23" s="88"/>
      <c r="P23" s="88"/>
      <c r="Q23" s="427" t="s">
        <v>64</v>
      </c>
      <c r="R23" s="398" t="s">
        <v>545</v>
      </c>
      <c r="S23" s="398" t="s">
        <v>544</v>
      </c>
      <c r="T23" s="409">
        <f>T18-T17</f>
        <v>-1315</v>
      </c>
      <c r="U23" s="409">
        <f>U18-U17</f>
        <v>-2884</v>
      </c>
      <c r="V23" s="409">
        <f>V18-V17</f>
        <v>-41</v>
      </c>
      <c r="W23" s="399" t="s">
        <v>64</v>
      </c>
      <c r="X23" s="401">
        <f>(T17+U17+V17)/3</f>
        <v>190265</v>
      </c>
      <c r="Y23" s="426">
        <f>(T16+U16+V16)/3</f>
        <v>152759.66666666666</v>
      </c>
      <c r="Z23" s="398"/>
      <c r="AA23" s="401"/>
      <c r="AB23" s="88"/>
      <c r="AC23" s="88"/>
      <c r="AD23" s="88"/>
      <c r="AE23" s="402"/>
      <c r="AF23" s="88"/>
      <c r="AG23" s="427">
        <v>2014</v>
      </c>
      <c r="AH23" s="398">
        <v>2015</v>
      </c>
      <c r="AI23" s="398">
        <v>2016</v>
      </c>
      <c r="AJ23" s="444">
        <v>2014</v>
      </c>
      <c r="AK23" s="445">
        <v>2015</v>
      </c>
      <c r="AL23" s="446">
        <v>2016</v>
      </c>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row>
    <row r="24" spans="1:98" s="89" customFormat="1" ht="16.2" thickBot="1" x14ac:dyDescent="0.35">
      <c r="A24" s="86"/>
      <c r="B24" s="86"/>
      <c r="C24" s="87"/>
      <c r="D24" s="88"/>
      <c r="E24" s="88"/>
      <c r="F24" s="88"/>
      <c r="G24" s="88"/>
      <c r="H24" s="88"/>
      <c r="I24" s="88"/>
      <c r="J24" s="88"/>
      <c r="K24" s="88"/>
      <c r="L24" s="88"/>
      <c r="M24" s="88"/>
      <c r="N24" s="88"/>
      <c r="O24" s="88"/>
      <c r="P24" s="88"/>
      <c r="Q24" s="425"/>
      <c r="R24" s="88" t="s">
        <v>546</v>
      </c>
      <c r="S24" s="88"/>
      <c r="T24" s="408">
        <f>T19-T16</f>
        <v>-3031</v>
      </c>
      <c r="U24" s="408">
        <f>U19-U16</f>
        <v>-3722</v>
      </c>
      <c r="V24" s="408">
        <f>V19-V16</f>
        <v>-634</v>
      </c>
      <c r="W24" s="399"/>
      <c r="X24" s="401">
        <f>(T23+U23+V23)/3</f>
        <v>-1413.3333333333333</v>
      </c>
      <c r="Y24" s="426">
        <f>(T24+U24+V24)/3</f>
        <v>-2462.3333333333335</v>
      </c>
      <c r="Z24" s="88" t="s">
        <v>546</v>
      </c>
      <c r="AA24" s="414">
        <f>T24/T16</f>
        <v>-2.0560024962352975E-2</v>
      </c>
      <c r="AB24" s="415">
        <f>U24/U16</f>
        <v>-2.4227512090973593E-2</v>
      </c>
      <c r="AC24" s="415">
        <f>V24/V16</f>
        <v>-4.0323093557209184E-3</v>
      </c>
      <c r="AD24" s="416"/>
      <c r="AE24" s="434">
        <f>(AA24+AB24+AC24)/3</f>
        <v>-1.6273282136349161E-2</v>
      </c>
      <c r="AF24" s="88" t="s">
        <v>553</v>
      </c>
      <c r="AG24" s="436">
        <v>2.1000000000000001E-2</v>
      </c>
      <c r="AH24" s="435">
        <v>2.4E-2</v>
      </c>
      <c r="AI24" s="435">
        <v>4.0000000000000001E-3</v>
      </c>
      <c r="AJ24" s="447">
        <f>100-(AG20*AG24)</f>
        <v>97.9</v>
      </c>
      <c r="AK24" s="448">
        <f>100-(AH24*AG20)</f>
        <v>97.6</v>
      </c>
      <c r="AL24" s="440">
        <f>100-(AI24*AG20)</f>
        <v>99.6</v>
      </c>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row>
    <row r="25" spans="1:98" s="89" customFormat="1" ht="16.2" thickBot="1" x14ac:dyDescent="0.35">
      <c r="A25" s="86"/>
      <c r="B25" s="86"/>
      <c r="C25" s="87"/>
      <c r="D25" s="88"/>
      <c r="E25" s="88"/>
      <c r="F25" s="88"/>
      <c r="G25" s="88"/>
      <c r="H25" s="88"/>
      <c r="I25" s="88"/>
      <c r="J25" s="88"/>
      <c r="K25" s="88"/>
      <c r="L25" s="88"/>
      <c r="M25" s="88"/>
      <c r="N25" s="88"/>
      <c r="O25" s="88"/>
      <c r="P25" s="88"/>
      <c r="Q25" s="428"/>
      <c r="R25" s="429"/>
      <c r="S25" s="429"/>
      <c r="T25" s="429"/>
      <c r="U25" s="429"/>
      <c r="V25" s="429"/>
      <c r="W25" s="405" t="s">
        <v>549</v>
      </c>
      <c r="X25" s="407">
        <f>X24/X23</f>
        <v>-7.4282360567278971E-3</v>
      </c>
      <c r="Y25" s="406">
        <f>Y24/Y23</f>
        <v>-1.6119001743479411E-2</v>
      </c>
      <c r="Z25" s="88" t="s">
        <v>545</v>
      </c>
      <c r="AA25" s="411">
        <f>T23/T17</f>
        <v>-6.8943822581067973E-3</v>
      </c>
      <c r="AB25" s="412">
        <f>U23/U17</f>
        <v>-1.5640591782723763E-2</v>
      </c>
      <c r="AC25" s="412">
        <f>V23/V16</f>
        <v>-2.6076448514914457E-4</v>
      </c>
      <c r="AD25" s="413"/>
      <c r="AE25" s="417">
        <f>(AA25+AB25+AC25)/3</f>
        <v>-7.5985795086599009E-3</v>
      </c>
      <c r="AF25" s="88" t="s">
        <v>554</v>
      </c>
      <c r="AG25" s="437">
        <v>7.0000000000000001E-3</v>
      </c>
      <c r="AH25" s="438">
        <v>1.6E-2</v>
      </c>
      <c r="AI25" s="439">
        <v>2.9999999999999997E-4</v>
      </c>
      <c r="AJ25" s="441">
        <f>100-(AG25*AG20)</f>
        <v>99.3</v>
      </c>
      <c r="AK25" s="442">
        <f>100-(AH25*AG20)</f>
        <v>98.4</v>
      </c>
      <c r="AL25" s="443">
        <f>100-(AI25*AG20)</f>
        <v>99.97</v>
      </c>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row>
    <row r="26" spans="1:98" s="7" customFormat="1" ht="15" thickBot="1" x14ac:dyDescent="0.35">
      <c r="A26" s="31" t="s">
        <v>169</v>
      </c>
      <c r="B26" s="31"/>
      <c r="C26" s="31"/>
      <c r="D26" s="4"/>
      <c r="E26" s="4"/>
      <c r="F26" s="4"/>
      <c r="G26" s="4"/>
      <c r="H26" s="4"/>
      <c r="I26" s="4"/>
      <c r="J26" s="4"/>
      <c r="K26" s="4"/>
      <c r="L26" s="4"/>
      <c r="M26" s="4"/>
      <c r="N26" s="4"/>
      <c r="O26" s="4"/>
      <c r="P26" s="4"/>
      <c r="Q26" s="4"/>
      <c r="R26" s="4"/>
      <c r="S26" s="4"/>
      <c r="T26" s="4"/>
      <c r="U26" s="4"/>
      <c r="V26" s="4"/>
      <c r="W26" s="4"/>
      <c r="X26" s="396"/>
      <c r="Y26" s="395"/>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row>
    <row r="27" spans="1:98" s="49" customFormat="1" x14ac:dyDescent="0.3">
      <c r="A27" s="47" t="s">
        <v>119</v>
      </c>
      <c r="B27" s="74"/>
      <c r="C27" s="75" t="s">
        <v>105</v>
      </c>
      <c r="D27" s="48">
        <v>1478</v>
      </c>
      <c r="E27" s="48">
        <v>1416</v>
      </c>
      <c r="F27" s="48">
        <v>1458</v>
      </c>
      <c r="G27" s="48">
        <v>1283</v>
      </c>
      <c r="H27" s="48">
        <v>1346</v>
      </c>
      <c r="I27" s="48">
        <v>1702</v>
      </c>
      <c r="J27" s="48">
        <v>1547</v>
      </c>
      <c r="K27" s="48">
        <v>1588</v>
      </c>
      <c r="L27" s="48">
        <v>1665</v>
      </c>
      <c r="M27" s="48">
        <v>1790</v>
      </c>
      <c r="N27" s="48">
        <v>2104</v>
      </c>
      <c r="O27" s="48">
        <v>2100</v>
      </c>
      <c r="P27" s="48">
        <v>2499</v>
      </c>
      <c r="Q27" s="48">
        <v>2922</v>
      </c>
      <c r="R27" s="48">
        <v>2685</v>
      </c>
      <c r="S27" s="48">
        <v>2522</v>
      </c>
      <c r="T27" s="48">
        <v>2519</v>
      </c>
      <c r="U27" s="48">
        <v>2630</v>
      </c>
      <c r="V27" s="48">
        <v>3023</v>
      </c>
      <c r="W27" s="48"/>
      <c r="X27" s="48"/>
      <c r="Y27" s="48"/>
      <c r="Z27" s="48"/>
      <c r="AA27" s="48"/>
      <c r="AB27" s="48"/>
      <c r="AC27" s="48"/>
      <c r="AD27" s="48"/>
      <c r="AE27" s="48"/>
      <c r="AF27" s="48"/>
      <c r="AG27" s="48"/>
      <c r="AH27" s="48"/>
      <c r="AI27" s="48"/>
      <c r="AJ27" s="459">
        <v>2014</v>
      </c>
      <c r="AK27" s="460">
        <v>2015</v>
      </c>
      <c r="AL27" s="461">
        <v>2016</v>
      </c>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row>
    <row r="28" spans="1:98" s="2" customFormat="1" x14ac:dyDescent="0.3">
      <c r="A28" s="1" t="s">
        <v>120</v>
      </c>
      <c r="B28" s="23"/>
      <c r="C28" s="30" t="s">
        <v>106</v>
      </c>
      <c r="D28">
        <v>7396</v>
      </c>
      <c r="E28">
        <v>10115</v>
      </c>
      <c r="F28">
        <v>15913</v>
      </c>
      <c r="G28">
        <v>15989</v>
      </c>
      <c r="H28">
        <v>15331</v>
      </c>
      <c r="I28">
        <v>15181</v>
      </c>
      <c r="J28">
        <v>14790</v>
      </c>
      <c r="K28">
        <v>16885</v>
      </c>
      <c r="L28">
        <v>18794</v>
      </c>
      <c r="M28">
        <v>17906</v>
      </c>
      <c r="N28">
        <v>23253</v>
      </c>
      <c r="O28">
        <v>17255</v>
      </c>
      <c r="P28">
        <v>23143</v>
      </c>
      <c r="Q28">
        <v>26406</v>
      </c>
      <c r="R28">
        <v>26902</v>
      </c>
      <c r="S28">
        <v>26025</v>
      </c>
      <c r="T28">
        <v>20758</v>
      </c>
      <c r="U28">
        <v>13952</v>
      </c>
      <c r="V28">
        <v>14529</v>
      </c>
      <c r="W28"/>
      <c r="X28"/>
      <c r="Y28"/>
      <c r="Z28"/>
      <c r="AA28"/>
      <c r="AB28"/>
      <c r="AC28"/>
      <c r="AD28"/>
      <c r="AE28"/>
      <c r="AF28"/>
      <c r="AG28"/>
      <c r="AH28"/>
      <c r="AI28"/>
      <c r="AJ28" s="452">
        <v>1.046</v>
      </c>
      <c r="AK28" s="56">
        <v>1.0369999999999999</v>
      </c>
      <c r="AL28" s="453">
        <v>1.0089999999999999</v>
      </c>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row>
    <row r="29" spans="1:98" s="7" customFormat="1" x14ac:dyDescent="0.3">
      <c r="A29" s="4" t="s">
        <v>121</v>
      </c>
      <c r="B29" s="23"/>
      <c r="C29" s="24" t="s">
        <v>79</v>
      </c>
      <c r="D29" s="6">
        <v>149751</v>
      </c>
      <c r="E29" s="6">
        <v>149578</v>
      </c>
      <c r="F29" s="6">
        <v>164315</v>
      </c>
      <c r="G29" s="6">
        <v>165789</v>
      </c>
      <c r="H29" s="6">
        <v>162980</v>
      </c>
      <c r="I29" s="6">
        <v>164220</v>
      </c>
      <c r="J29" s="6">
        <v>167009</v>
      </c>
      <c r="K29" s="6">
        <v>184408</v>
      </c>
      <c r="L29" s="6">
        <v>213991</v>
      </c>
      <c r="M29" s="6">
        <v>192815</v>
      </c>
      <c r="N29" s="6">
        <v>217935</v>
      </c>
      <c r="O29" s="6">
        <v>200257</v>
      </c>
      <c r="P29" s="6">
        <v>232007</v>
      </c>
      <c r="Q29" s="6">
        <v>265428</v>
      </c>
      <c r="R29" s="6">
        <v>258093</v>
      </c>
      <c r="S29" s="6">
        <v>261688</v>
      </c>
      <c r="T29" s="6">
        <v>256309</v>
      </c>
      <c r="U29" s="6">
        <v>257307</v>
      </c>
      <c r="V29" s="6">
        <v>270525</v>
      </c>
      <c r="W29" s="6"/>
      <c r="X29" s="6"/>
      <c r="Y29" s="6"/>
      <c r="Z29" s="6"/>
      <c r="AA29" s="6"/>
      <c r="AB29" s="6"/>
      <c r="AC29" s="6"/>
      <c r="AD29" s="6"/>
      <c r="AE29" s="6"/>
      <c r="AF29" s="6"/>
      <c r="AG29" s="6"/>
      <c r="AH29" s="6"/>
      <c r="AI29" s="6"/>
      <c r="AJ29" s="454">
        <v>1.028</v>
      </c>
      <c r="AK29" s="45">
        <v>1.0129999999999999</v>
      </c>
      <c r="AL29" s="455">
        <v>1.0089999999999999</v>
      </c>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row>
    <row r="30" spans="1:98" s="2" customFormat="1" x14ac:dyDescent="0.3">
      <c r="A30" s="1" t="s">
        <v>122</v>
      </c>
      <c r="B30" s="23"/>
      <c r="C30" s="24" t="s">
        <v>107</v>
      </c>
      <c r="D30">
        <v>3</v>
      </c>
      <c r="E30">
        <v>8</v>
      </c>
      <c r="F30">
        <v>5</v>
      </c>
      <c r="G30">
        <v>3</v>
      </c>
      <c r="H30">
        <v>97</v>
      </c>
      <c r="I30">
        <v>163</v>
      </c>
      <c r="J30">
        <v>145</v>
      </c>
      <c r="K30">
        <v>97</v>
      </c>
      <c r="L30">
        <v>102</v>
      </c>
      <c r="M30">
        <v>105</v>
      </c>
      <c r="N30">
        <v>109</v>
      </c>
      <c r="O30">
        <v>157</v>
      </c>
      <c r="P30">
        <v>205</v>
      </c>
      <c r="Q30">
        <v>137</v>
      </c>
      <c r="R30">
        <v>102</v>
      </c>
      <c r="S30">
        <v>167</v>
      </c>
      <c r="T30">
        <v>131</v>
      </c>
      <c r="U30">
        <v>78</v>
      </c>
      <c r="V30">
        <v>103</v>
      </c>
      <c r="W30"/>
      <c r="X30"/>
      <c r="Y30"/>
      <c r="Z30"/>
      <c r="AA30"/>
      <c r="AB30"/>
      <c r="AC30"/>
      <c r="AD30"/>
      <c r="AE30"/>
      <c r="AF30"/>
      <c r="AG30"/>
      <c r="AH30"/>
      <c r="AI30"/>
      <c r="AJ30" s="454"/>
      <c r="AK30" s="45"/>
      <c r="AL30" s="455"/>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row>
    <row r="31" spans="1:98" s="2" customFormat="1" x14ac:dyDescent="0.3">
      <c r="A31" s="1" t="s">
        <v>123</v>
      </c>
      <c r="B31" s="23"/>
      <c r="C31" s="30" t="s">
        <v>108</v>
      </c>
      <c r="D31">
        <v>909</v>
      </c>
      <c r="E31">
        <v>916</v>
      </c>
      <c r="F31">
        <v>1280</v>
      </c>
      <c r="G31">
        <v>1352</v>
      </c>
      <c r="H31">
        <v>1121</v>
      </c>
      <c r="I31">
        <v>1429</v>
      </c>
      <c r="J31">
        <v>1976</v>
      </c>
      <c r="K31">
        <v>2090</v>
      </c>
      <c r="L31">
        <v>2956</v>
      </c>
      <c r="M31">
        <v>3560</v>
      </c>
      <c r="N31">
        <v>4494</v>
      </c>
      <c r="O31">
        <v>3196</v>
      </c>
      <c r="P31">
        <v>5016</v>
      </c>
      <c r="Q31">
        <v>6144</v>
      </c>
      <c r="R31">
        <v>5454</v>
      </c>
      <c r="S31">
        <v>4743</v>
      </c>
      <c r="T31">
        <v>4838</v>
      </c>
      <c r="U31">
        <v>3885</v>
      </c>
      <c r="V31">
        <v>4201</v>
      </c>
      <c r="W31"/>
      <c r="X31"/>
      <c r="Y31"/>
      <c r="Z31"/>
      <c r="AA31"/>
      <c r="AB31"/>
      <c r="AC31"/>
      <c r="AD31"/>
      <c r="AE31"/>
      <c r="AF31"/>
      <c r="AG31"/>
      <c r="AH31"/>
      <c r="AI31"/>
      <c r="AJ31" s="454">
        <v>0.97899999999999998</v>
      </c>
      <c r="AK31" s="45">
        <v>0.97599999999999998</v>
      </c>
      <c r="AL31" s="455">
        <v>0.996</v>
      </c>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row>
    <row r="32" spans="1:98" s="2" customFormat="1" ht="15" thickBot="1" x14ac:dyDescent="0.35">
      <c r="A32" s="1" t="s">
        <v>124</v>
      </c>
      <c r="B32" s="23"/>
      <c r="C32" s="30" t="s">
        <v>109</v>
      </c>
      <c r="D32">
        <v>2975</v>
      </c>
      <c r="E32">
        <v>2883</v>
      </c>
      <c r="F32">
        <v>2970</v>
      </c>
      <c r="G32">
        <v>3123</v>
      </c>
      <c r="H32">
        <v>3438</v>
      </c>
      <c r="I32">
        <v>3496</v>
      </c>
      <c r="J32">
        <v>3624</v>
      </c>
      <c r="K32">
        <v>4004</v>
      </c>
      <c r="L32">
        <v>3654</v>
      </c>
      <c r="M32">
        <v>3551</v>
      </c>
      <c r="N32">
        <v>3805</v>
      </c>
      <c r="O32">
        <v>3925</v>
      </c>
      <c r="P32">
        <v>3899</v>
      </c>
      <c r="Q32">
        <v>3683</v>
      </c>
      <c r="R32">
        <v>3510</v>
      </c>
      <c r="S32">
        <v>3447</v>
      </c>
      <c r="T32">
        <v>3395</v>
      </c>
      <c r="U32">
        <v>3398</v>
      </c>
      <c r="V32">
        <v>3478</v>
      </c>
      <c r="W32"/>
      <c r="X32"/>
      <c r="Y32"/>
      <c r="Z32"/>
      <c r="AA32"/>
      <c r="AB32"/>
      <c r="AC32"/>
      <c r="AD32"/>
      <c r="AE32"/>
      <c r="AF32"/>
      <c r="AG32"/>
      <c r="AH32"/>
      <c r="AI32"/>
      <c r="AJ32" s="456">
        <v>0.99299999999999999</v>
      </c>
      <c r="AK32" s="457">
        <v>0.98399999999999999</v>
      </c>
      <c r="AL32" s="458">
        <v>0.997</v>
      </c>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row>
    <row r="33" spans="1:97" s="2" customFormat="1" x14ac:dyDescent="0.3">
      <c r="A33" s="1" t="s">
        <v>125</v>
      </c>
      <c r="B33" s="23"/>
      <c r="C33" s="30" t="s">
        <v>110</v>
      </c>
      <c r="D33">
        <v>1441</v>
      </c>
      <c r="E33">
        <v>1586</v>
      </c>
      <c r="F33">
        <v>2146</v>
      </c>
      <c r="G33">
        <v>2055</v>
      </c>
      <c r="H33">
        <v>2411</v>
      </c>
      <c r="I33">
        <v>2298</v>
      </c>
      <c r="J33">
        <v>2466</v>
      </c>
      <c r="K33">
        <v>2924</v>
      </c>
      <c r="L33">
        <v>2740</v>
      </c>
      <c r="M33">
        <v>3194</v>
      </c>
      <c r="N33">
        <v>2840</v>
      </c>
      <c r="O33">
        <v>2176</v>
      </c>
      <c r="P33">
        <v>3388</v>
      </c>
      <c r="Q33">
        <v>3409</v>
      </c>
      <c r="R33">
        <v>4837</v>
      </c>
      <c r="S33">
        <v>4507</v>
      </c>
      <c r="T33">
        <v>4825</v>
      </c>
      <c r="U33">
        <v>6221</v>
      </c>
      <c r="V33">
        <v>5468</v>
      </c>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row>
    <row r="34" spans="1:97" s="2" customFormat="1" x14ac:dyDescent="0.3">
      <c r="A34" s="1" t="s">
        <v>126</v>
      </c>
      <c r="B34" s="23"/>
      <c r="C34" s="30" t="s">
        <v>111</v>
      </c>
      <c r="D34">
        <v>0</v>
      </c>
      <c r="E34">
        <v>0</v>
      </c>
      <c r="F34">
        <v>0</v>
      </c>
      <c r="G34">
        <v>0</v>
      </c>
      <c r="H34">
        <v>0</v>
      </c>
      <c r="I34">
        <v>0</v>
      </c>
      <c r="J34">
        <v>0</v>
      </c>
      <c r="K34">
        <v>0</v>
      </c>
      <c r="L34">
        <v>0</v>
      </c>
      <c r="M34">
        <v>0</v>
      </c>
      <c r="N34">
        <v>0</v>
      </c>
      <c r="O34">
        <v>0</v>
      </c>
      <c r="P34">
        <v>0</v>
      </c>
      <c r="Q34">
        <v>0</v>
      </c>
      <c r="R34">
        <v>1</v>
      </c>
      <c r="S34">
        <v>0</v>
      </c>
      <c r="T34">
        <v>0</v>
      </c>
      <c r="U34">
        <v>0</v>
      </c>
      <c r="V34">
        <v>0</v>
      </c>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row>
    <row r="35" spans="1:97" s="2" customFormat="1" x14ac:dyDescent="0.3">
      <c r="A35" s="23"/>
      <c r="B35" s="30"/>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row>
    <row r="36" spans="1:97" s="67" customFormat="1" x14ac:dyDescent="0.3">
      <c r="A36" s="40"/>
      <c r="B36" s="40"/>
      <c r="C36" s="36"/>
      <c r="D36" s="37" t="s">
        <v>0</v>
      </c>
      <c r="E36" s="37" t="s">
        <v>1</v>
      </c>
      <c r="F36" s="37" t="s">
        <v>2</v>
      </c>
      <c r="G36" s="37" t="s">
        <v>3</v>
      </c>
      <c r="H36" s="37" t="s">
        <v>4</v>
      </c>
      <c r="I36" s="37" t="s">
        <v>5</v>
      </c>
      <c r="J36" s="37" t="s">
        <v>6</v>
      </c>
      <c r="K36" s="37" t="s">
        <v>7</v>
      </c>
      <c r="L36" s="37" t="s">
        <v>8</v>
      </c>
      <c r="M36" s="37" t="s">
        <v>9</v>
      </c>
      <c r="N36" s="37" t="s">
        <v>10</v>
      </c>
      <c r="O36" s="37" t="s">
        <v>11</v>
      </c>
      <c r="P36" s="37" t="s">
        <v>12</v>
      </c>
      <c r="Q36" s="37" t="s">
        <v>13</v>
      </c>
      <c r="R36" s="37" t="s">
        <v>14</v>
      </c>
      <c r="S36" s="37" t="s">
        <v>15</v>
      </c>
      <c r="T36" s="37" t="s">
        <v>16</v>
      </c>
      <c r="U36" s="37" t="s">
        <v>17</v>
      </c>
      <c r="V36" s="38" t="s">
        <v>18</v>
      </c>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row>
    <row r="37" spans="1:97" s="2" customFormat="1" x14ac:dyDescent="0.3">
      <c r="A37" s="14" t="s">
        <v>103</v>
      </c>
      <c r="B37" s="23" t="s">
        <v>84</v>
      </c>
      <c r="C37" s="24" t="s">
        <v>79</v>
      </c>
      <c r="D37">
        <v>149751</v>
      </c>
      <c r="E37">
        <v>149578</v>
      </c>
      <c r="F37">
        <v>164315</v>
      </c>
      <c r="G37">
        <v>165789</v>
      </c>
      <c r="H37">
        <v>162980</v>
      </c>
      <c r="I37">
        <v>164220</v>
      </c>
      <c r="J37">
        <v>167009</v>
      </c>
      <c r="K37">
        <v>184408</v>
      </c>
      <c r="L37">
        <v>213991</v>
      </c>
      <c r="M37">
        <v>192815</v>
      </c>
      <c r="N37">
        <v>217935</v>
      </c>
      <c r="O37">
        <v>200257</v>
      </c>
      <c r="P37">
        <v>232007</v>
      </c>
      <c r="Q37">
        <v>265428</v>
      </c>
      <c r="R37">
        <v>258093</v>
      </c>
      <c r="S37">
        <v>261688</v>
      </c>
      <c r="T37">
        <v>256309</v>
      </c>
      <c r="U37">
        <v>257307</v>
      </c>
      <c r="V37">
        <v>270525</v>
      </c>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row>
    <row r="38" spans="1:97" s="2" customFormat="1" x14ac:dyDescent="0.3">
      <c r="A38" s="23"/>
      <c r="B38" s="23" t="s">
        <v>86</v>
      </c>
      <c r="C38" s="27" t="s">
        <v>85</v>
      </c>
      <c r="D38" s="5">
        <v>169910</v>
      </c>
      <c r="E38" s="5">
        <v>178615</v>
      </c>
      <c r="F38" s="5">
        <v>199673</v>
      </c>
      <c r="G38" s="5">
        <v>208498</v>
      </c>
      <c r="H38" s="5">
        <v>214348</v>
      </c>
      <c r="I38" s="5">
        <v>217226</v>
      </c>
      <c r="J38" s="5">
        <v>226912</v>
      </c>
      <c r="K38" s="5">
        <v>248995</v>
      </c>
      <c r="L38" s="5">
        <v>284707</v>
      </c>
      <c r="M38" s="5">
        <v>274180</v>
      </c>
      <c r="N38" s="5">
        <v>296127</v>
      </c>
      <c r="O38" s="5">
        <v>274973</v>
      </c>
      <c r="P38" s="5">
        <v>316544</v>
      </c>
      <c r="Q38" s="5">
        <v>334569</v>
      </c>
      <c r="R38" s="5">
        <v>342574</v>
      </c>
      <c r="S38" s="5">
        <v>357832</v>
      </c>
      <c r="T38" s="5">
        <v>363033</v>
      </c>
      <c r="U38" s="5">
        <v>365602</v>
      </c>
      <c r="V38" s="5">
        <v>396108</v>
      </c>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row>
    <row r="39" spans="1:97" x14ac:dyDescent="0.3">
      <c r="B39" s="12"/>
    </row>
    <row r="40" spans="1:97" s="2" customFormat="1" x14ac:dyDescent="0.3">
      <c r="A40" s="23"/>
      <c r="B40" s="1" t="s">
        <v>60</v>
      </c>
      <c r="C40" s="25" t="s">
        <v>80</v>
      </c>
      <c r="D40">
        <v>90949</v>
      </c>
      <c r="E40">
        <v>92147</v>
      </c>
      <c r="F40">
        <v>100013</v>
      </c>
      <c r="G40">
        <v>101468</v>
      </c>
      <c r="H40">
        <v>102604</v>
      </c>
      <c r="I40">
        <v>98710</v>
      </c>
      <c r="J40">
        <v>99171</v>
      </c>
      <c r="K40">
        <v>107681</v>
      </c>
      <c r="L40">
        <v>133953</v>
      </c>
      <c r="M40">
        <v>111292</v>
      </c>
      <c r="N40">
        <v>120576</v>
      </c>
      <c r="O40">
        <v>108180</v>
      </c>
      <c r="P40">
        <v>121202</v>
      </c>
      <c r="Q40">
        <v>137782</v>
      </c>
      <c r="R40">
        <v>124115</v>
      </c>
      <c r="S40">
        <v>126255</v>
      </c>
      <c r="T40">
        <v>122387</v>
      </c>
      <c r="U40">
        <v>117944</v>
      </c>
      <c r="V40">
        <v>128937</v>
      </c>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row>
    <row r="41" spans="1:97" s="2" customFormat="1" x14ac:dyDescent="0.3">
      <c r="A41" s="23"/>
      <c r="B41" s="1" t="s">
        <v>58</v>
      </c>
      <c r="C41" s="26" t="s">
        <v>81</v>
      </c>
      <c r="D41">
        <v>100031</v>
      </c>
      <c r="E41">
        <v>104447</v>
      </c>
      <c r="F41">
        <v>112204</v>
      </c>
      <c r="G41">
        <v>121492</v>
      </c>
      <c r="H41">
        <v>132039</v>
      </c>
      <c r="I41">
        <v>134033</v>
      </c>
      <c r="J41">
        <v>139335</v>
      </c>
      <c r="K41">
        <v>154245</v>
      </c>
      <c r="L41">
        <v>176776</v>
      </c>
      <c r="M41">
        <v>163094</v>
      </c>
      <c r="N41">
        <v>173455</v>
      </c>
      <c r="O41">
        <v>157380</v>
      </c>
      <c r="P41">
        <v>178619</v>
      </c>
      <c r="Q41">
        <v>192203</v>
      </c>
      <c r="R41">
        <v>196397</v>
      </c>
      <c r="S41">
        <v>205764</v>
      </c>
      <c r="T41">
        <v>212563</v>
      </c>
      <c r="U41">
        <v>211927</v>
      </c>
      <c r="V41">
        <v>228406</v>
      </c>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row>
    <row r="42" spans="1:97" s="6" customFormat="1" x14ac:dyDescent="0.3">
      <c r="A42" s="16"/>
      <c r="B42" s="4" t="s">
        <v>34</v>
      </c>
      <c r="D42" s="6">
        <f>D40-D41</f>
        <v>-9082</v>
      </c>
      <c r="E42" s="6">
        <f t="shared" ref="E42:V42" si="0">E40-E41</f>
        <v>-12300</v>
      </c>
      <c r="F42" s="6">
        <f t="shared" si="0"/>
        <v>-12191</v>
      </c>
      <c r="G42" s="6">
        <f t="shared" si="0"/>
        <v>-20024</v>
      </c>
      <c r="H42" s="6">
        <f t="shared" si="0"/>
        <v>-29435</v>
      </c>
      <c r="I42" s="6">
        <f t="shared" si="0"/>
        <v>-35323</v>
      </c>
      <c r="J42" s="6">
        <f t="shared" si="0"/>
        <v>-40164</v>
      </c>
      <c r="K42" s="6">
        <f t="shared" si="0"/>
        <v>-46564</v>
      </c>
      <c r="L42" s="6">
        <f t="shared" si="0"/>
        <v>-42823</v>
      </c>
      <c r="M42" s="6">
        <f t="shared" si="0"/>
        <v>-51802</v>
      </c>
      <c r="N42" s="6">
        <f t="shared" si="0"/>
        <v>-52879</v>
      </c>
      <c r="O42" s="6">
        <f t="shared" si="0"/>
        <v>-49200</v>
      </c>
      <c r="P42" s="6">
        <f t="shared" si="0"/>
        <v>-57417</v>
      </c>
      <c r="Q42" s="6">
        <f t="shared" si="0"/>
        <v>-54421</v>
      </c>
      <c r="R42" s="6">
        <f t="shared" si="0"/>
        <v>-72282</v>
      </c>
      <c r="S42" s="6">
        <f t="shared" si="0"/>
        <v>-79509</v>
      </c>
      <c r="T42" s="6">
        <f t="shared" si="0"/>
        <v>-90176</v>
      </c>
      <c r="U42" s="6">
        <f t="shared" si="0"/>
        <v>-93983</v>
      </c>
      <c r="V42" s="6">
        <f t="shared" si="0"/>
        <v>-99469</v>
      </c>
    </row>
    <row r="43" spans="1:97" x14ac:dyDescent="0.3">
      <c r="B43" s="4"/>
    </row>
    <row r="44" spans="1:97" s="2" customFormat="1" x14ac:dyDescent="0.3">
      <c r="A44" s="23"/>
      <c r="B44" s="1" t="s">
        <v>52</v>
      </c>
      <c r="C44" s="26" t="s">
        <v>82</v>
      </c>
      <c r="D44">
        <v>58802</v>
      </c>
      <c r="E44">
        <v>57431</v>
      </c>
      <c r="F44">
        <v>64302</v>
      </c>
      <c r="G44">
        <v>64321</v>
      </c>
      <c r="H44">
        <v>60376</v>
      </c>
      <c r="I44">
        <v>65510</v>
      </c>
      <c r="J44">
        <v>67838</v>
      </c>
      <c r="K44">
        <v>76727</v>
      </c>
      <c r="L44">
        <v>80038</v>
      </c>
      <c r="M44">
        <v>81523</v>
      </c>
      <c r="N44">
        <v>97359</v>
      </c>
      <c r="O44">
        <v>92077</v>
      </c>
      <c r="P44">
        <v>110805</v>
      </c>
      <c r="Q44">
        <v>127646</v>
      </c>
      <c r="R44">
        <v>133978</v>
      </c>
      <c r="S44">
        <v>135433</v>
      </c>
      <c r="T44">
        <v>133922</v>
      </c>
      <c r="U44">
        <v>139363</v>
      </c>
      <c r="V44">
        <v>141588</v>
      </c>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row>
    <row r="45" spans="1:97" s="2" customFormat="1" x14ac:dyDescent="0.3">
      <c r="A45" s="23"/>
      <c r="B45" s="1" t="s">
        <v>59</v>
      </c>
      <c r="C45" s="1" t="s">
        <v>83</v>
      </c>
      <c r="D45" s="5">
        <v>69879</v>
      </c>
      <c r="E45" s="5">
        <v>74168</v>
      </c>
      <c r="F45" s="5">
        <v>87469</v>
      </c>
      <c r="G45" s="5">
        <v>87006</v>
      </c>
      <c r="H45" s="5">
        <v>82309</v>
      </c>
      <c r="I45" s="5">
        <v>83193</v>
      </c>
      <c r="J45" s="5">
        <v>87577</v>
      </c>
      <c r="K45" s="5">
        <v>94750</v>
      </c>
      <c r="L45" s="5">
        <v>107931</v>
      </c>
      <c r="M45" s="5">
        <v>111086</v>
      </c>
      <c r="N45" s="5">
        <v>122672</v>
      </c>
      <c r="O45" s="5">
        <v>117593</v>
      </c>
      <c r="P45" s="5">
        <v>137925</v>
      </c>
      <c r="Q45" s="5">
        <v>142366</v>
      </c>
      <c r="R45" s="5">
        <v>146177</v>
      </c>
      <c r="S45" s="5">
        <v>152068</v>
      </c>
      <c r="T45" s="5">
        <v>150470</v>
      </c>
      <c r="U45" s="5">
        <v>153675</v>
      </c>
      <c r="V45" s="5">
        <v>167702</v>
      </c>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row>
    <row r="46" spans="1:97" s="6" customFormat="1" x14ac:dyDescent="0.3">
      <c r="A46" s="16"/>
      <c r="B46" s="4" t="s">
        <v>34</v>
      </c>
      <c r="D46" s="6">
        <f>D44-D45</f>
        <v>-11077</v>
      </c>
      <c r="E46" s="6">
        <f t="shared" ref="E46:V46" si="1">E44-E45</f>
        <v>-16737</v>
      </c>
      <c r="F46" s="6">
        <f t="shared" si="1"/>
        <v>-23167</v>
      </c>
      <c r="G46" s="6">
        <f t="shared" si="1"/>
        <v>-22685</v>
      </c>
      <c r="H46" s="6">
        <f t="shared" si="1"/>
        <v>-21933</v>
      </c>
      <c r="I46" s="6">
        <f t="shared" si="1"/>
        <v>-17683</v>
      </c>
      <c r="J46" s="6">
        <f t="shared" si="1"/>
        <v>-19739</v>
      </c>
      <c r="K46" s="6">
        <f t="shared" si="1"/>
        <v>-18023</v>
      </c>
      <c r="L46" s="6">
        <f t="shared" si="1"/>
        <v>-27893</v>
      </c>
      <c r="M46" s="6">
        <f t="shared" si="1"/>
        <v>-29563</v>
      </c>
      <c r="N46" s="6">
        <f t="shared" si="1"/>
        <v>-25313</v>
      </c>
      <c r="O46" s="6">
        <f t="shared" si="1"/>
        <v>-25516</v>
      </c>
      <c r="P46" s="6">
        <f t="shared" si="1"/>
        <v>-27120</v>
      </c>
      <c r="Q46" s="6">
        <f t="shared" si="1"/>
        <v>-14720</v>
      </c>
      <c r="R46" s="6">
        <f t="shared" si="1"/>
        <v>-12199</v>
      </c>
      <c r="S46" s="6">
        <f t="shared" si="1"/>
        <v>-16635</v>
      </c>
      <c r="T46" s="6">
        <f t="shared" si="1"/>
        <v>-16548</v>
      </c>
      <c r="U46" s="6">
        <f t="shared" si="1"/>
        <v>-14312</v>
      </c>
      <c r="V46" s="6">
        <f t="shared" si="1"/>
        <v>-26114</v>
      </c>
    </row>
    <row r="47" spans="1:97" s="6" customFormat="1" x14ac:dyDescent="0.3">
      <c r="A47" s="16"/>
      <c r="B47" s="4"/>
    </row>
    <row r="48" spans="1:97" s="6" customFormat="1" x14ac:dyDescent="0.3">
      <c r="A48" s="16"/>
      <c r="B48" s="4"/>
    </row>
    <row r="49" spans="1:98" s="7" customFormat="1" x14ac:dyDescent="0.3">
      <c r="A49" s="31" t="s">
        <v>113</v>
      </c>
      <c r="B49" s="31"/>
      <c r="C49" s="13"/>
      <c r="D49" s="4"/>
      <c r="E49" s="4"/>
      <c r="F49" s="4"/>
      <c r="G49" s="4"/>
      <c r="H49" s="4"/>
      <c r="I49" s="4"/>
      <c r="J49" s="4"/>
      <c r="K49" s="4"/>
      <c r="L49" s="4"/>
      <c r="M49" s="4"/>
      <c r="N49" s="4"/>
      <c r="O49" s="4"/>
      <c r="P49" s="4"/>
      <c r="Q49" s="4"/>
      <c r="R49" s="4"/>
      <c r="S49" s="4"/>
      <c r="T49" s="4"/>
      <c r="U49" s="4"/>
      <c r="V49" s="31"/>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row>
    <row r="50" spans="1:98" s="7" customFormat="1" x14ac:dyDescent="0.3">
      <c r="A50" s="31"/>
      <c r="B50" s="31"/>
      <c r="C50" s="13"/>
      <c r="D50" s="53" t="s">
        <v>0</v>
      </c>
      <c r="E50" s="53" t="s">
        <v>1</v>
      </c>
      <c r="F50" s="53" t="s">
        <v>2</v>
      </c>
      <c r="G50" s="53" t="s">
        <v>3</v>
      </c>
      <c r="H50" s="53" t="s">
        <v>4</v>
      </c>
      <c r="I50" s="53" t="s">
        <v>5</v>
      </c>
      <c r="J50" s="53" t="s">
        <v>6</v>
      </c>
      <c r="K50" s="53" t="s">
        <v>7</v>
      </c>
      <c r="L50" s="53" t="s">
        <v>8</v>
      </c>
      <c r="M50" s="53" t="s">
        <v>9</v>
      </c>
      <c r="N50" s="53" t="s">
        <v>10</v>
      </c>
      <c r="O50" s="53" t="s">
        <v>11</v>
      </c>
      <c r="P50" s="53" t="s">
        <v>12</v>
      </c>
      <c r="Q50" s="53" t="s">
        <v>13</v>
      </c>
      <c r="R50" s="53" t="s">
        <v>14</v>
      </c>
      <c r="S50" s="53" t="s">
        <v>15</v>
      </c>
      <c r="T50" s="53" t="s">
        <v>16</v>
      </c>
      <c r="U50" s="53" t="s">
        <v>17</v>
      </c>
      <c r="V50" s="54" t="s">
        <v>18</v>
      </c>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row>
    <row r="51" spans="1:98" s="49" customFormat="1" x14ac:dyDescent="0.3">
      <c r="A51" s="46" t="s">
        <v>114</v>
      </c>
      <c r="B51" s="47" t="s">
        <v>50</v>
      </c>
      <c r="C51" s="47" t="s">
        <v>39</v>
      </c>
      <c r="D51" s="91">
        <v>11706</v>
      </c>
      <c r="E51" s="91">
        <v>12551</v>
      </c>
      <c r="F51" s="91">
        <v>12556</v>
      </c>
      <c r="G51" s="91">
        <v>10951</v>
      </c>
      <c r="H51" s="91">
        <v>11978</v>
      </c>
      <c r="I51" s="91">
        <v>12599</v>
      </c>
      <c r="J51" s="91">
        <v>13101</v>
      </c>
      <c r="K51" s="91">
        <v>13330</v>
      </c>
      <c r="L51" s="91">
        <v>13701</v>
      </c>
      <c r="M51" s="91">
        <v>15331</v>
      </c>
      <c r="N51" s="91">
        <v>15133</v>
      </c>
      <c r="O51" s="91">
        <v>12310</v>
      </c>
      <c r="P51" s="91">
        <v>13980</v>
      </c>
      <c r="Q51" s="91">
        <v>16118</v>
      </c>
      <c r="R51" s="91">
        <v>13606</v>
      </c>
      <c r="S51" s="91">
        <v>14330</v>
      </c>
      <c r="T51" s="91">
        <v>14966</v>
      </c>
      <c r="U51" s="91">
        <v>15580</v>
      </c>
      <c r="V51" s="91">
        <v>18257</v>
      </c>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row>
    <row r="52" spans="1:98" s="2" customFormat="1" x14ac:dyDescent="0.3">
      <c r="A52" s="15"/>
      <c r="B52" s="1" t="s">
        <v>51</v>
      </c>
      <c r="C52" s="1" t="s">
        <v>40</v>
      </c>
      <c r="D52" s="91">
        <v>19858</v>
      </c>
      <c r="E52" s="91">
        <v>21242</v>
      </c>
      <c r="F52" s="91">
        <v>20425</v>
      </c>
      <c r="G52" s="91">
        <v>23440</v>
      </c>
      <c r="H52" s="91">
        <v>25665</v>
      </c>
      <c r="I52" s="91">
        <v>26872</v>
      </c>
      <c r="J52" s="91">
        <v>27432</v>
      </c>
      <c r="K52" s="91">
        <v>28427</v>
      </c>
      <c r="L52" s="91">
        <v>29349</v>
      </c>
      <c r="M52" s="91">
        <v>33201</v>
      </c>
      <c r="N52" s="91">
        <v>30509</v>
      </c>
      <c r="O52" s="91">
        <v>23836</v>
      </c>
      <c r="P52" s="91">
        <v>30124</v>
      </c>
      <c r="Q52" s="91">
        <v>32818</v>
      </c>
      <c r="R52" s="91">
        <v>32328</v>
      </c>
      <c r="S52" s="91">
        <v>36689</v>
      </c>
      <c r="T52" s="91">
        <v>41091</v>
      </c>
      <c r="U52" s="91">
        <v>44343</v>
      </c>
      <c r="V52" s="91">
        <v>47744</v>
      </c>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row>
    <row r="53" spans="1:98" s="6" customFormat="1" x14ac:dyDescent="0.3">
      <c r="A53" s="16"/>
      <c r="B53" s="4" t="s">
        <v>46</v>
      </c>
      <c r="D53" s="6">
        <f>D51-D52</f>
        <v>-8152</v>
      </c>
      <c r="E53" s="6">
        <f t="shared" ref="E53:V53" si="2">E51-E52</f>
        <v>-8691</v>
      </c>
      <c r="F53" s="6">
        <f t="shared" si="2"/>
        <v>-7869</v>
      </c>
      <c r="G53" s="6">
        <f t="shared" si="2"/>
        <v>-12489</v>
      </c>
      <c r="H53" s="6">
        <f t="shared" si="2"/>
        <v>-13687</v>
      </c>
      <c r="I53" s="6">
        <f t="shared" si="2"/>
        <v>-14273</v>
      </c>
      <c r="J53" s="6">
        <f t="shared" si="2"/>
        <v>-14331</v>
      </c>
      <c r="K53" s="6">
        <f t="shared" si="2"/>
        <v>-15097</v>
      </c>
      <c r="L53" s="6">
        <f t="shared" si="2"/>
        <v>-15648</v>
      </c>
      <c r="M53" s="6">
        <f t="shared" si="2"/>
        <v>-17870</v>
      </c>
      <c r="N53" s="6">
        <f t="shared" si="2"/>
        <v>-15376</v>
      </c>
      <c r="O53" s="6">
        <f t="shared" si="2"/>
        <v>-11526</v>
      </c>
      <c r="P53" s="6">
        <f t="shared" si="2"/>
        <v>-16144</v>
      </c>
      <c r="Q53" s="6">
        <f t="shared" si="2"/>
        <v>-16700</v>
      </c>
      <c r="R53" s="6">
        <f t="shared" si="2"/>
        <v>-18722</v>
      </c>
      <c r="S53" s="6">
        <f t="shared" si="2"/>
        <v>-22359</v>
      </c>
      <c r="T53" s="6">
        <f t="shared" si="2"/>
        <v>-26125</v>
      </c>
      <c r="U53" s="6">
        <f t="shared" si="2"/>
        <v>-28763</v>
      </c>
      <c r="V53" s="6">
        <f t="shared" si="2"/>
        <v>-29487</v>
      </c>
    </row>
    <row r="55" spans="1:98" s="2" customFormat="1" x14ac:dyDescent="0.3">
      <c r="A55" s="15"/>
      <c r="B55" s="1" t="s">
        <v>52</v>
      </c>
      <c r="C55" s="1" t="s">
        <v>41</v>
      </c>
      <c r="D55" s="91">
        <v>4151</v>
      </c>
      <c r="E55" s="91">
        <v>3987</v>
      </c>
      <c r="F55" s="91">
        <v>4447</v>
      </c>
      <c r="G55" s="91">
        <v>4545</v>
      </c>
      <c r="H55" s="91">
        <v>6310</v>
      </c>
      <c r="I55" s="91">
        <v>6656</v>
      </c>
      <c r="J55" s="91">
        <v>6685</v>
      </c>
      <c r="K55" s="91">
        <v>7322</v>
      </c>
      <c r="L55" s="91">
        <v>7392</v>
      </c>
      <c r="M55" s="91">
        <v>7757</v>
      </c>
      <c r="N55" s="91">
        <v>9437</v>
      </c>
      <c r="O55" s="91">
        <v>6882</v>
      </c>
      <c r="P55" s="91">
        <v>11810</v>
      </c>
      <c r="Q55" s="91">
        <v>14183</v>
      </c>
      <c r="R55" s="91">
        <v>16952</v>
      </c>
      <c r="S55" s="91">
        <v>19484</v>
      </c>
      <c r="T55" s="91">
        <v>19533</v>
      </c>
      <c r="U55" s="91">
        <v>18727</v>
      </c>
      <c r="V55" s="91">
        <v>21816</v>
      </c>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row>
    <row r="56" spans="1:98" s="2" customFormat="1" x14ac:dyDescent="0.3">
      <c r="A56" s="15"/>
      <c r="B56" s="1" t="s">
        <v>53</v>
      </c>
      <c r="C56" s="1" t="s">
        <v>42</v>
      </c>
      <c r="D56" s="5">
        <v>3109</v>
      </c>
      <c r="E56" s="5">
        <v>3483</v>
      </c>
      <c r="F56" s="5">
        <v>3383</v>
      </c>
      <c r="G56" s="5">
        <v>3691</v>
      </c>
      <c r="H56" s="5">
        <v>3839</v>
      </c>
      <c r="I56" s="5">
        <v>4076</v>
      </c>
      <c r="J56" s="5">
        <v>4384</v>
      </c>
      <c r="K56" s="5">
        <v>4192</v>
      </c>
      <c r="L56" s="5">
        <v>4301</v>
      </c>
      <c r="M56" s="5">
        <v>4669</v>
      </c>
      <c r="N56" s="5">
        <v>4684</v>
      </c>
      <c r="O56" s="5">
        <v>3046</v>
      </c>
      <c r="P56" s="5">
        <v>4870</v>
      </c>
      <c r="Q56" s="5">
        <v>5757</v>
      </c>
      <c r="R56" s="5">
        <v>5944</v>
      </c>
      <c r="S56" s="5">
        <v>6196</v>
      </c>
      <c r="T56" s="5">
        <v>6949</v>
      </c>
      <c r="U56" s="5">
        <v>7762</v>
      </c>
      <c r="V56" s="5">
        <v>8821</v>
      </c>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row>
    <row r="57" spans="1:98" s="7" customFormat="1" x14ac:dyDescent="0.3">
      <c r="A57" s="14"/>
      <c r="B57" s="4" t="s">
        <v>47</v>
      </c>
      <c r="C57" s="4"/>
      <c r="D57" s="8">
        <f>D55-D56</f>
        <v>1042</v>
      </c>
      <c r="E57" s="8">
        <f t="shared" ref="E57:V57" si="3">E55-E56</f>
        <v>504</v>
      </c>
      <c r="F57" s="8">
        <f t="shared" si="3"/>
        <v>1064</v>
      </c>
      <c r="G57" s="8">
        <f t="shared" si="3"/>
        <v>854</v>
      </c>
      <c r="H57" s="8">
        <f t="shared" si="3"/>
        <v>2471</v>
      </c>
      <c r="I57" s="8">
        <f t="shared" si="3"/>
        <v>2580</v>
      </c>
      <c r="J57" s="8">
        <f t="shared" si="3"/>
        <v>2301</v>
      </c>
      <c r="K57" s="8">
        <f t="shared" si="3"/>
        <v>3130</v>
      </c>
      <c r="L57" s="8">
        <f t="shared" si="3"/>
        <v>3091</v>
      </c>
      <c r="M57" s="8">
        <f t="shared" si="3"/>
        <v>3088</v>
      </c>
      <c r="N57" s="8">
        <f t="shared" si="3"/>
        <v>4753</v>
      </c>
      <c r="O57" s="8">
        <f t="shared" si="3"/>
        <v>3836</v>
      </c>
      <c r="P57" s="8">
        <f t="shared" si="3"/>
        <v>6940</v>
      </c>
      <c r="Q57" s="8">
        <f t="shared" si="3"/>
        <v>8426</v>
      </c>
      <c r="R57" s="8">
        <f t="shared" si="3"/>
        <v>11008</v>
      </c>
      <c r="S57" s="8">
        <f t="shared" si="3"/>
        <v>13288</v>
      </c>
      <c r="T57" s="8">
        <f t="shared" si="3"/>
        <v>12584</v>
      </c>
      <c r="U57" s="8">
        <f t="shared" si="3"/>
        <v>10965</v>
      </c>
      <c r="V57" s="8">
        <f t="shared" si="3"/>
        <v>12995</v>
      </c>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row>
    <row r="59" spans="1:98" s="7" customFormat="1" x14ac:dyDescent="0.3">
      <c r="A59" s="31"/>
      <c r="B59" s="31"/>
      <c r="C59" s="13"/>
      <c r="D59" s="53" t="s">
        <v>0</v>
      </c>
      <c r="E59" s="53" t="s">
        <v>1</v>
      </c>
      <c r="F59" s="53" t="s">
        <v>2</v>
      </c>
      <c r="G59" s="53" t="s">
        <v>3</v>
      </c>
      <c r="H59" s="53" t="s">
        <v>4</v>
      </c>
      <c r="I59" s="53" t="s">
        <v>5</v>
      </c>
      <c r="J59" s="53" t="s">
        <v>6</v>
      </c>
      <c r="K59" s="53" t="s">
        <v>7</v>
      </c>
      <c r="L59" s="53" t="s">
        <v>8</v>
      </c>
      <c r="M59" s="53" t="s">
        <v>9</v>
      </c>
      <c r="N59" s="53" t="s">
        <v>10</v>
      </c>
      <c r="O59" s="53" t="s">
        <v>11</v>
      </c>
      <c r="P59" s="53" t="s">
        <v>12</v>
      </c>
      <c r="Q59" s="53" t="s">
        <v>13</v>
      </c>
      <c r="R59" s="53" t="s">
        <v>14</v>
      </c>
      <c r="S59" s="53" t="s">
        <v>15</v>
      </c>
      <c r="T59" s="53" t="s">
        <v>16</v>
      </c>
      <c r="U59" s="53" t="s">
        <v>17</v>
      </c>
      <c r="V59" s="54" t="s">
        <v>18</v>
      </c>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row>
    <row r="60" spans="1:98" s="49" customFormat="1" ht="28.8" x14ac:dyDescent="0.3">
      <c r="A60" s="50" t="s">
        <v>131</v>
      </c>
      <c r="B60" s="47" t="s">
        <v>60</v>
      </c>
      <c r="C60" s="47" t="s">
        <v>75</v>
      </c>
      <c r="D60" s="48">
        <v>4112</v>
      </c>
      <c r="E60" s="48">
        <v>4619</v>
      </c>
      <c r="F60" s="48">
        <v>5137</v>
      </c>
      <c r="G60" s="48">
        <v>6225</v>
      </c>
      <c r="H60" s="48">
        <v>5899</v>
      </c>
      <c r="I60" s="48">
        <v>6365</v>
      </c>
      <c r="J60" s="48">
        <v>5948</v>
      </c>
      <c r="K60" s="48">
        <v>6244</v>
      </c>
      <c r="L60" s="48">
        <v>6539</v>
      </c>
      <c r="M60" s="48">
        <v>4812</v>
      </c>
      <c r="N60" s="48">
        <v>4575</v>
      </c>
      <c r="O60" s="48">
        <v>4797</v>
      </c>
      <c r="P60" s="48">
        <v>5896</v>
      </c>
      <c r="Q60" s="48">
        <v>6459</v>
      </c>
      <c r="R60" s="48">
        <v>6290</v>
      </c>
      <c r="S60" s="48">
        <v>7264</v>
      </c>
      <c r="T60" s="48">
        <v>6724</v>
      </c>
      <c r="U60" s="48">
        <v>8634</v>
      </c>
      <c r="V60" s="48">
        <v>9807</v>
      </c>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row>
    <row r="61" spans="1:98" s="2" customFormat="1" x14ac:dyDescent="0.3">
      <c r="A61" s="4"/>
      <c r="B61" s="1" t="s">
        <v>58</v>
      </c>
      <c r="C61" s="1" t="s">
        <v>76</v>
      </c>
      <c r="D61">
        <v>2521</v>
      </c>
      <c r="E61">
        <v>2532</v>
      </c>
      <c r="F61">
        <v>3436</v>
      </c>
      <c r="G61">
        <v>3770</v>
      </c>
      <c r="H61">
        <v>3962</v>
      </c>
      <c r="I61">
        <v>2980</v>
      </c>
      <c r="J61">
        <v>3562</v>
      </c>
      <c r="K61">
        <v>3918</v>
      </c>
      <c r="L61">
        <v>3140</v>
      </c>
      <c r="M61">
        <v>3006</v>
      </c>
      <c r="N61">
        <v>3361</v>
      </c>
      <c r="O61">
        <v>3497</v>
      </c>
      <c r="P61">
        <v>4745</v>
      </c>
      <c r="Q61">
        <v>3491</v>
      </c>
      <c r="R61">
        <v>4441</v>
      </c>
      <c r="S61">
        <v>4103</v>
      </c>
      <c r="T61">
        <v>5422</v>
      </c>
      <c r="U61">
        <v>5460</v>
      </c>
      <c r="V61">
        <v>7180</v>
      </c>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row>
    <row r="62" spans="1:98" s="7" customFormat="1" x14ac:dyDescent="0.3">
      <c r="A62" s="4"/>
      <c r="B62" s="4" t="s">
        <v>34</v>
      </c>
      <c r="C62" s="4"/>
      <c r="D62" s="6">
        <f>D60-D61</f>
        <v>1591</v>
      </c>
      <c r="E62" s="6">
        <f t="shared" ref="E62:V62" si="4">E60-E61</f>
        <v>2087</v>
      </c>
      <c r="F62" s="6">
        <f t="shared" si="4"/>
        <v>1701</v>
      </c>
      <c r="G62" s="6">
        <f t="shared" si="4"/>
        <v>2455</v>
      </c>
      <c r="H62" s="6">
        <f t="shared" si="4"/>
        <v>1937</v>
      </c>
      <c r="I62" s="6">
        <f t="shared" si="4"/>
        <v>3385</v>
      </c>
      <c r="J62" s="6">
        <f t="shared" si="4"/>
        <v>2386</v>
      </c>
      <c r="K62" s="6">
        <f t="shared" si="4"/>
        <v>2326</v>
      </c>
      <c r="L62" s="6">
        <f t="shared" si="4"/>
        <v>3399</v>
      </c>
      <c r="M62" s="6">
        <f t="shared" si="4"/>
        <v>1806</v>
      </c>
      <c r="N62" s="6">
        <f t="shared" si="4"/>
        <v>1214</v>
      </c>
      <c r="O62" s="6">
        <f t="shared" si="4"/>
        <v>1300</v>
      </c>
      <c r="P62" s="6">
        <f t="shared" si="4"/>
        <v>1151</v>
      </c>
      <c r="Q62" s="6">
        <f t="shared" si="4"/>
        <v>2968</v>
      </c>
      <c r="R62" s="6">
        <f t="shared" si="4"/>
        <v>1849</v>
      </c>
      <c r="S62" s="6">
        <f t="shared" si="4"/>
        <v>3161</v>
      </c>
      <c r="T62" s="6">
        <f t="shared" si="4"/>
        <v>1302</v>
      </c>
      <c r="U62" s="6">
        <f t="shared" si="4"/>
        <v>3174</v>
      </c>
      <c r="V62" s="6">
        <f t="shared" si="4"/>
        <v>2627</v>
      </c>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row>
    <row r="63" spans="1:98" s="2" customFormat="1" x14ac:dyDescent="0.3">
      <c r="A63" s="4"/>
      <c r="B63" s="4"/>
      <c r="C63" s="1"/>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row>
    <row r="64" spans="1:98" s="2" customFormat="1" x14ac:dyDescent="0.3">
      <c r="A64" s="4"/>
      <c r="B64" s="1" t="s">
        <v>52</v>
      </c>
      <c r="C64" s="1" t="s">
        <v>77</v>
      </c>
      <c r="D64">
        <v>7597</v>
      </c>
      <c r="E64">
        <v>7077</v>
      </c>
      <c r="F64">
        <v>8062</v>
      </c>
      <c r="G64">
        <v>8259</v>
      </c>
      <c r="H64">
        <v>6863</v>
      </c>
      <c r="I64">
        <v>7469</v>
      </c>
      <c r="J64">
        <v>7444</v>
      </c>
      <c r="K64">
        <v>7554</v>
      </c>
      <c r="L64">
        <v>8570</v>
      </c>
      <c r="M64">
        <v>10338</v>
      </c>
      <c r="N64">
        <v>11799</v>
      </c>
      <c r="O64">
        <v>13036</v>
      </c>
      <c r="P64">
        <v>14658</v>
      </c>
      <c r="Q64">
        <v>16516</v>
      </c>
      <c r="R64">
        <v>17835</v>
      </c>
      <c r="S64">
        <v>19063</v>
      </c>
      <c r="T64">
        <v>18056</v>
      </c>
      <c r="U64">
        <v>18155</v>
      </c>
      <c r="V64">
        <v>22347</v>
      </c>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row>
    <row r="65" spans="1:99" s="2" customFormat="1" x14ac:dyDescent="0.3">
      <c r="A65" s="4"/>
      <c r="B65" s="1" t="s">
        <v>59</v>
      </c>
      <c r="C65" s="1" t="s">
        <v>78</v>
      </c>
      <c r="D65" s="5">
        <v>7835</v>
      </c>
      <c r="E65" s="5">
        <v>7831</v>
      </c>
      <c r="F65" s="5">
        <v>8224</v>
      </c>
      <c r="G65" s="5">
        <v>9905</v>
      </c>
      <c r="H65" s="5">
        <v>10507</v>
      </c>
      <c r="I65" s="5">
        <v>9839</v>
      </c>
      <c r="J65" s="5">
        <v>8361</v>
      </c>
      <c r="K65" s="5">
        <v>8550</v>
      </c>
      <c r="L65" s="5">
        <v>10371</v>
      </c>
      <c r="M65" s="5">
        <v>11272</v>
      </c>
      <c r="N65" s="5">
        <v>13508</v>
      </c>
      <c r="O65" s="5">
        <v>15725</v>
      </c>
      <c r="P65" s="5">
        <v>19158</v>
      </c>
      <c r="Q65" s="5">
        <v>12977</v>
      </c>
      <c r="R65" s="5">
        <v>14686</v>
      </c>
      <c r="S65" s="5">
        <v>17379</v>
      </c>
      <c r="T65" s="5">
        <v>17693</v>
      </c>
      <c r="U65" s="5">
        <v>17947</v>
      </c>
      <c r="V65" s="5">
        <v>24142</v>
      </c>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row>
    <row r="66" spans="1:99" s="7" customFormat="1" ht="15.6" customHeight="1" x14ac:dyDescent="0.3">
      <c r="A66" s="4"/>
      <c r="B66" s="4" t="s">
        <v>34</v>
      </c>
      <c r="C66" s="4"/>
      <c r="D66" s="8">
        <f>D64-D65</f>
        <v>-238</v>
      </c>
      <c r="E66" s="8">
        <f t="shared" ref="E66:V66" si="5">E64-E65</f>
        <v>-754</v>
      </c>
      <c r="F66" s="8">
        <f t="shared" si="5"/>
        <v>-162</v>
      </c>
      <c r="G66" s="8">
        <f t="shared" si="5"/>
        <v>-1646</v>
      </c>
      <c r="H66" s="8">
        <f t="shared" si="5"/>
        <v>-3644</v>
      </c>
      <c r="I66" s="8">
        <f t="shared" si="5"/>
        <v>-2370</v>
      </c>
      <c r="J66" s="8">
        <f t="shared" si="5"/>
        <v>-917</v>
      </c>
      <c r="K66" s="8">
        <f t="shared" si="5"/>
        <v>-996</v>
      </c>
      <c r="L66" s="8">
        <f t="shared" si="5"/>
        <v>-1801</v>
      </c>
      <c r="M66" s="8">
        <f t="shared" si="5"/>
        <v>-934</v>
      </c>
      <c r="N66" s="8">
        <f t="shared" si="5"/>
        <v>-1709</v>
      </c>
      <c r="O66" s="8">
        <f t="shared" si="5"/>
        <v>-2689</v>
      </c>
      <c r="P66" s="8">
        <f t="shared" si="5"/>
        <v>-4500</v>
      </c>
      <c r="Q66" s="8">
        <f t="shared" si="5"/>
        <v>3539</v>
      </c>
      <c r="R66" s="8">
        <f t="shared" si="5"/>
        <v>3149</v>
      </c>
      <c r="S66" s="8">
        <f t="shared" si="5"/>
        <v>1684</v>
      </c>
      <c r="T66" s="8">
        <f t="shared" si="5"/>
        <v>363</v>
      </c>
      <c r="U66" s="8">
        <f t="shared" si="5"/>
        <v>208</v>
      </c>
      <c r="V66" s="8">
        <f t="shared" si="5"/>
        <v>-1795</v>
      </c>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row>
    <row r="68" spans="1:99" s="7" customFormat="1" x14ac:dyDescent="0.3">
      <c r="A68" s="31"/>
      <c r="B68" s="31"/>
      <c r="C68" s="13"/>
      <c r="D68" s="53" t="s">
        <v>0</v>
      </c>
      <c r="E68" s="53" t="s">
        <v>1</v>
      </c>
      <c r="F68" s="53" t="s">
        <v>2</v>
      </c>
      <c r="G68" s="53" t="s">
        <v>3</v>
      </c>
      <c r="H68" s="53" t="s">
        <v>4</v>
      </c>
      <c r="I68" s="53" t="s">
        <v>5</v>
      </c>
      <c r="J68" s="53" t="s">
        <v>6</v>
      </c>
      <c r="K68" s="53" t="s">
        <v>7</v>
      </c>
      <c r="L68" s="53" t="s">
        <v>8</v>
      </c>
      <c r="M68" s="53" t="s">
        <v>9</v>
      </c>
      <c r="N68" s="53" t="s">
        <v>10</v>
      </c>
      <c r="O68" s="53" t="s">
        <v>11</v>
      </c>
      <c r="P68" s="53" t="s">
        <v>12</v>
      </c>
      <c r="Q68" s="53" t="s">
        <v>13</v>
      </c>
      <c r="R68" s="53" t="s">
        <v>14</v>
      </c>
      <c r="S68" s="53" t="s">
        <v>15</v>
      </c>
      <c r="T68" s="53" t="s">
        <v>16</v>
      </c>
      <c r="U68" s="53" t="s">
        <v>17</v>
      </c>
      <c r="V68" s="54" t="s">
        <v>18</v>
      </c>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row>
    <row r="69" spans="1:99" s="49" customFormat="1" x14ac:dyDescent="0.3">
      <c r="A69" s="46" t="s">
        <v>130</v>
      </c>
      <c r="B69" s="47" t="s">
        <v>49</v>
      </c>
      <c r="C69" s="47" t="s">
        <v>20</v>
      </c>
      <c r="D69" s="48">
        <v>8897</v>
      </c>
      <c r="E69" s="48">
        <v>8361</v>
      </c>
      <c r="F69" s="48">
        <v>8470</v>
      </c>
      <c r="G69" s="48">
        <v>8604</v>
      </c>
      <c r="H69" s="48">
        <v>8109</v>
      </c>
      <c r="I69" s="48">
        <v>8418</v>
      </c>
      <c r="J69" s="48">
        <v>8219</v>
      </c>
      <c r="K69" s="48">
        <v>8918</v>
      </c>
      <c r="L69" s="48">
        <v>9289</v>
      </c>
      <c r="M69" s="48">
        <v>10804</v>
      </c>
      <c r="N69" s="48">
        <v>11289</v>
      </c>
      <c r="O69" s="48">
        <v>8630</v>
      </c>
      <c r="P69" s="48">
        <v>9523</v>
      </c>
      <c r="Q69" s="48">
        <v>11259</v>
      </c>
      <c r="R69" s="48">
        <v>10299</v>
      </c>
      <c r="S69" s="48">
        <v>10288</v>
      </c>
      <c r="T69" s="48">
        <v>10501</v>
      </c>
      <c r="U69" s="48">
        <v>10071</v>
      </c>
      <c r="V69" s="48">
        <v>11451</v>
      </c>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row>
    <row r="70" spans="1:99" s="2" customFormat="1" x14ac:dyDescent="0.3">
      <c r="A70" s="15"/>
      <c r="B70" s="1" t="s">
        <v>54</v>
      </c>
      <c r="C70" s="1" t="s">
        <v>37</v>
      </c>
      <c r="D70">
        <v>8530</v>
      </c>
      <c r="E70">
        <v>8290</v>
      </c>
      <c r="F70">
        <v>8302</v>
      </c>
      <c r="G70">
        <v>8513</v>
      </c>
      <c r="H70">
        <v>9164</v>
      </c>
      <c r="I70">
        <v>10078</v>
      </c>
      <c r="J70">
        <v>10479</v>
      </c>
      <c r="K70">
        <v>11456</v>
      </c>
      <c r="L70">
        <v>11749</v>
      </c>
      <c r="M70">
        <v>14357</v>
      </c>
      <c r="N70">
        <v>15902</v>
      </c>
      <c r="O70">
        <v>12544</v>
      </c>
      <c r="P70">
        <v>14002</v>
      </c>
      <c r="Q70">
        <v>16040</v>
      </c>
      <c r="R70">
        <v>15931</v>
      </c>
      <c r="S70">
        <v>16609</v>
      </c>
      <c r="T70">
        <v>17412</v>
      </c>
      <c r="U70">
        <v>16338</v>
      </c>
      <c r="V70">
        <v>18540</v>
      </c>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row>
    <row r="71" spans="1:99" s="7" customFormat="1" x14ac:dyDescent="0.3">
      <c r="A71" s="14"/>
      <c r="B71" s="4" t="s">
        <v>57</v>
      </c>
      <c r="C71" s="4"/>
      <c r="D71" s="6">
        <f>D69-D70</f>
        <v>367</v>
      </c>
      <c r="E71" s="6">
        <f t="shared" ref="E71:V71" si="6">E69-E70</f>
        <v>71</v>
      </c>
      <c r="F71" s="6">
        <f t="shared" si="6"/>
        <v>168</v>
      </c>
      <c r="G71" s="6">
        <f t="shared" si="6"/>
        <v>91</v>
      </c>
      <c r="H71" s="6">
        <f t="shared" si="6"/>
        <v>-1055</v>
      </c>
      <c r="I71" s="6">
        <f t="shared" si="6"/>
        <v>-1660</v>
      </c>
      <c r="J71" s="6">
        <f t="shared" si="6"/>
        <v>-2260</v>
      </c>
      <c r="K71" s="6">
        <f t="shared" si="6"/>
        <v>-2538</v>
      </c>
      <c r="L71" s="6">
        <f t="shared" si="6"/>
        <v>-2460</v>
      </c>
      <c r="M71" s="6">
        <f t="shared" si="6"/>
        <v>-3553</v>
      </c>
      <c r="N71" s="6">
        <f t="shared" si="6"/>
        <v>-4613</v>
      </c>
      <c r="O71" s="6">
        <f t="shared" si="6"/>
        <v>-3914</v>
      </c>
      <c r="P71" s="6">
        <f t="shared" si="6"/>
        <v>-4479</v>
      </c>
      <c r="Q71" s="6">
        <f t="shared" si="6"/>
        <v>-4781</v>
      </c>
      <c r="R71" s="6">
        <f t="shared" si="6"/>
        <v>-5632</v>
      </c>
      <c r="S71" s="6">
        <f t="shared" si="6"/>
        <v>-6321</v>
      </c>
      <c r="T71" s="6">
        <f t="shared" si="6"/>
        <v>-6911</v>
      </c>
      <c r="U71" s="6">
        <f t="shared" si="6"/>
        <v>-6267</v>
      </c>
      <c r="V71" s="6">
        <f t="shared" si="6"/>
        <v>-7089</v>
      </c>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row>
    <row r="72" spans="1:99" s="2" customFormat="1" x14ac:dyDescent="0.3">
      <c r="A72" s="15"/>
      <c r="B72" s="4"/>
      <c r="C72" s="1"/>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row>
    <row r="73" spans="1:99" s="2" customFormat="1" x14ac:dyDescent="0.3">
      <c r="A73" s="15"/>
      <c r="B73" s="1" t="s">
        <v>52</v>
      </c>
      <c r="C73" s="1" t="s">
        <v>19</v>
      </c>
      <c r="D73">
        <v>8874</v>
      </c>
      <c r="E73">
        <v>8125</v>
      </c>
      <c r="F73">
        <v>8310</v>
      </c>
      <c r="G73">
        <v>8385</v>
      </c>
      <c r="H73">
        <v>7942</v>
      </c>
      <c r="I73">
        <v>8877</v>
      </c>
      <c r="J73">
        <v>9585</v>
      </c>
      <c r="K73">
        <v>9942</v>
      </c>
      <c r="L73">
        <v>11106</v>
      </c>
      <c r="M73">
        <v>11175</v>
      </c>
      <c r="N73">
        <v>13728</v>
      </c>
      <c r="O73">
        <v>11791</v>
      </c>
      <c r="P73">
        <v>13701</v>
      </c>
      <c r="Q73">
        <v>16152</v>
      </c>
      <c r="R73">
        <v>17621</v>
      </c>
      <c r="S73">
        <v>17738</v>
      </c>
      <c r="T73">
        <v>16892</v>
      </c>
      <c r="U73">
        <v>16391</v>
      </c>
      <c r="V73">
        <v>15434</v>
      </c>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row>
    <row r="74" spans="1:99" s="2" customFormat="1" x14ac:dyDescent="0.3">
      <c r="A74" s="15"/>
      <c r="B74" s="1" t="s">
        <v>55</v>
      </c>
      <c r="C74" s="1" t="s">
        <v>38</v>
      </c>
      <c r="D74" s="5">
        <v>6313</v>
      </c>
      <c r="E74" s="5">
        <v>6246</v>
      </c>
      <c r="F74" s="5">
        <v>7027</v>
      </c>
      <c r="G74" s="5">
        <v>7043</v>
      </c>
      <c r="H74" s="5">
        <v>6288</v>
      </c>
      <c r="I74" s="5">
        <v>5856</v>
      </c>
      <c r="J74" s="5">
        <v>6333</v>
      </c>
      <c r="K74" s="5">
        <v>7450</v>
      </c>
      <c r="L74" s="5">
        <v>7862</v>
      </c>
      <c r="M74" s="5">
        <v>8071</v>
      </c>
      <c r="N74" s="5">
        <v>9249</v>
      </c>
      <c r="O74" s="5">
        <v>7525</v>
      </c>
      <c r="P74" s="5">
        <v>9160</v>
      </c>
      <c r="Q74" s="5">
        <v>10528</v>
      </c>
      <c r="R74" s="5">
        <v>10644</v>
      </c>
      <c r="S74" s="5">
        <v>10249</v>
      </c>
      <c r="T74" s="5">
        <v>10556</v>
      </c>
      <c r="U74" s="5">
        <v>10880</v>
      </c>
      <c r="V74" s="5">
        <v>11606</v>
      </c>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row>
    <row r="75" spans="1:99" s="6" customFormat="1" x14ac:dyDescent="0.3">
      <c r="A75" s="16"/>
      <c r="B75" s="4" t="s">
        <v>47</v>
      </c>
      <c r="D75" s="6">
        <f>D73-D74</f>
        <v>2561</v>
      </c>
      <c r="E75" s="6">
        <f t="shared" ref="E75:V75" si="7">E73-E74</f>
        <v>1879</v>
      </c>
      <c r="F75" s="6">
        <f t="shared" si="7"/>
        <v>1283</v>
      </c>
      <c r="G75" s="6">
        <f t="shared" si="7"/>
        <v>1342</v>
      </c>
      <c r="H75" s="6">
        <f t="shared" si="7"/>
        <v>1654</v>
      </c>
      <c r="I75" s="6">
        <f t="shared" si="7"/>
        <v>3021</v>
      </c>
      <c r="J75" s="6">
        <f t="shared" si="7"/>
        <v>3252</v>
      </c>
      <c r="K75" s="6">
        <f t="shared" si="7"/>
        <v>2492</v>
      </c>
      <c r="L75" s="6">
        <f t="shared" si="7"/>
        <v>3244</v>
      </c>
      <c r="M75" s="6">
        <f t="shared" si="7"/>
        <v>3104</v>
      </c>
      <c r="N75" s="6">
        <f t="shared" si="7"/>
        <v>4479</v>
      </c>
      <c r="O75" s="6">
        <f t="shared" si="7"/>
        <v>4266</v>
      </c>
      <c r="P75" s="6">
        <f t="shared" si="7"/>
        <v>4541</v>
      </c>
      <c r="Q75" s="6">
        <f t="shared" si="7"/>
        <v>5624</v>
      </c>
      <c r="R75" s="6">
        <f t="shared" si="7"/>
        <v>6977</v>
      </c>
      <c r="S75" s="6">
        <f t="shared" si="7"/>
        <v>7489</v>
      </c>
      <c r="T75" s="6">
        <f t="shared" si="7"/>
        <v>6336</v>
      </c>
      <c r="U75" s="6">
        <f t="shared" si="7"/>
        <v>5511</v>
      </c>
      <c r="V75" s="6">
        <f t="shared" si="7"/>
        <v>3828</v>
      </c>
    </row>
    <row r="76" spans="1:99" s="7" customFormat="1" ht="15.6" customHeight="1" x14ac:dyDescent="0.3">
      <c r="A76" s="4"/>
      <c r="B76" s="4"/>
      <c r="C76" s="4"/>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row>
    <row r="77" spans="1:99" s="7" customFormat="1" x14ac:dyDescent="0.3">
      <c r="A77" s="31"/>
      <c r="B77" s="31"/>
      <c r="C77" s="13"/>
      <c r="D77" s="53" t="s">
        <v>0</v>
      </c>
      <c r="E77" s="53" t="s">
        <v>1</v>
      </c>
      <c r="F77" s="53" t="s">
        <v>2</v>
      </c>
      <c r="G77" s="53" t="s">
        <v>3</v>
      </c>
      <c r="H77" s="53" t="s">
        <v>4</v>
      </c>
      <c r="I77" s="53" t="s">
        <v>5</v>
      </c>
      <c r="J77" s="53" t="s">
        <v>6</v>
      </c>
      <c r="K77" s="53" t="s">
        <v>7</v>
      </c>
      <c r="L77" s="53" t="s">
        <v>8</v>
      </c>
      <c r="M77" s="53" t="s">
        <v>9</v>
      </c>
      <c r="N77" s="53" t="s">
        <v>10</v>
      </c>
      <c r="O77" s="53" t="s">
        <v>11</v>
      </c>
      <c r="P77" s="53" t="s">
        <v>12</v>
      </c>
      <c r="Q77" s="53" t="s">
        <v>13</v>
      </c>
      <c r="R77" s="53" t="s">
        <v>14</v>
      </c>
      <c r="S77" s="53" t="s">
        <v>15</v>
      </c>
      <c r="T77" s="53" t="s">
        <v>16</v>
      </c>
      <c r="U77" s="53" t="s">
        <v>17</v>
      </c>
      <c r="V77" s="54" t="s">
        <v>18</v>
      </c>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row>
    <row r="78" spans="1:99" s="49" customFormat="1" ht="15" customHeight="1" x14ac:dyDescent="0.3">
      <c r="A78" s="46" t="s">
        <v>115</v>
      </c>
      <c r="B78" s="47" t="s">
        <v>56</v>
      </c>
      <c r="C78" s="47" t="s">
        <v>21</v>
      </c>
      <c r="D78" s="48">
        <v>3553</v>
      </c>
      <c r="E78" s="48">
        <v>3661</v>
      </c>
      <c r="F78" s="48">
        <v>4080</v>
      </c>
      <c r="G78" s="48">
        <v>5157</v>
      </c>
      <c r="H78" s="48">
        <v>5606</v>
      </c>
      <c r="I78" s="48">
        <v>6355</v>
      </c>
      <c r="J78" s="48">
        <v>7061</v>
      </c>
      <c r="K78" s="48">
        <v>7444</v>
      </c>
      <c r="L78" s="48">
        <v>7549</v>
      </c>
      <c r="M78" s="48">
        <v>7815</v>
      </c>
      <c r="N78" s="48">
        <v>9911</v>
      </c>
      <c r="O78" s="48">
        <v>11305</v>
      </c>
      <c r="P78" s="48">
        <v>11765</v>
      </c>
      <c r="Q78" s="48">
        <v>12179</v>
      </c>
      <c r="R78" s="48">
        <v>12492</v>
      </c>
      <c r="S78" s="48">
        <v>10290</v>
      </c>
      <c r="T78" s="48">
        <v>11086</v>
      </c>
      <c r="U78" s="48">
        <v>10501</v>
      </c>
      <c r="V78" s="48">
        <v>12077</v>
      </c>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row>
    <row r="79" spans="1:99" s="2" customFormat="1" x14ac:dyDescent="0.3">
      <c r="A79" s="15"/>
      <c r="B79" s="1" t="s">
        <v>58</v>
      </c>
      <c r="C79" s="1" t="s">
        <v>23</v>
      </c>
      <c r="D79">
        <v>4037</v>
      </c>
      <c r="E79">
        <v>4728</v>
      </c>
      <c r="F79">
        <v>5228</v>
      </c>
      <c r="G79">
        <v>6071</v>
      </c>
      <c r="H79">
        <v>7245</v>
      </c>
      <c r="I79">
        <v>8374</v>
      </c>
      <c r="J79">
        <v>8433</v>
      </c>
      <c r="K79">
        <v>8197</v>
      </c>
      <c r="L79">
        <v>8134</v>
      </c>
      <c r="M79">
        <v>9887</v>
      </c>
      <c r="N79">
        <v>9851</v>
      </c>
      <c r="O79">
        <v>11429</v>
      </c>
      <c r="P79">
        <v>12666</v>
      </c>
      <c r="Q79">
        <v>12744</v>
      </c>
      <c r="R79">
        <v>15849</v>
      </c>
      <c r="S79">
        <v>17441</v>
      </c>
      <c r="T79">
        <v>19660</v>
      </c>
      <c r="U79">
        <v>20098</v>
      </c>
      <c r="V79">
        <v>21719</v>
      </c>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row>
    <row r="80" spans="1:99" s="6" customFormat="1" x14ac:dyDescent="0.3">
      <c r="A80" s="16"/>
      <c r="B80" s="4" t="s">
        <v>25</v>
      </c>
      <c r="D80" s="6">
        <f t="shared" ref="D80:V80" si="8">D78-D79</f>
        <v>-484</v>
      </c>
      <c r="E80" s="6">
        <f t="shared" si="8"/>
        <v>-1067</v>
      </c>
      <c r="F80" s="6">
        <f t="shared" si="8"/>
        <v>-1148</v>
      </c>
      <c r="G80" s="6">
        <f t="shared" si="8"/>
        <v>-914</v>
      </c>
      <c r="H80" s="6">
        <f t="shared" si="8"/>
        <v>-1639</v>
      </c>
      <c r="I80" s="6">
        <f t="shared" si="8"/>
        <v>-2019</v>
      </c>
      <c r="J80" s="6">
        <f t="shared" si="8"/>
        <v>-1372</v>
      </c>
      <c r="K80" s="6">
        <f t="shared" si="8"/>
        <v>-753</v>
      </c>
      <c r="L80" s="6">
        <f t="shared" si="8"/>
        <v>-585</v>
      </c>
      <c r="M80" s="6">
        <f t="shared" si="8"/>
        <v>-2072</v>
      </c>
      <c r="N80" s="6">
        <f t="shared" si="8"/>
        <v>60</v>
      </c>
      <c r="O80" s="6">
        <f t="shared" si="8"/>
        <v>-124</v>
      </c>
      <c r="P80" s="6">
        <f t="shared" si="8"/>
        <v>-901</v>
      </c>
      <c r="Q80" s="6">
        <f t="shared" si="8"/>
        <v>-565</v>
      </c>
      <c r="R80" s="6">
        <f t="shared" si="8"/>
        <v>-3357</v>
      </c>
      <c r="S80" s="6">
        <f t="shared" si="8"/>
        <v>-7151</v>
      </c>
      <c r="T80" s="6">
        <f t="shared" si="8"/>
        <v>-8574</v>
      </c>
      <c r="U80" s="6">
        <f t="shared" si="8"/>
        <v>-9597</v>
      </c>
      <c r="V80" s="6">
        <f t="shared" si="8"/>
        <v>-9642</v>
      </c>
    </row>
    <row r="81" spans="1:97" s="6" customFormat="1" x14ac:dyDescent="0.3">
      <c r="A81" s="16"/>
      <c r="B81" s="4"/>
    </row>
    <row r="82" spans="1:97" s="2" customFormat="1" x14ac:dyDescent="0.3">
      <c r="A82" s="15"/>
      <c r="B82" s="1" t="s">
        <v>52</v>
      </c>
      <c r="C82" s="1" t="s">
        <v>22</v>
      </c>
      <c r="D82">
        <v>2663</v>
      </c>
      <c r="E82">
        <v>3024</v>
      </c>
      <c r="F82">
        <v>3560</v>
      </c>
      <c r="G82">
        <v>4257</v>
      </c>
      <c r="H82">
        <v>4903</v>
      </c>
      <c r="I82">
        <v>5874</v>
      </c>
      <c r="J82">
        <v>5600</v>
      </c>
      <c r="K82">
        <v>5337</v>
      </c>
      <c r="L82">
        <v>6787</v>
      </c>
      <c r="M82">
        <v>7198</v>
      </c>
      <c r="N82">
        <v>8027</v>
      </c>
      <c r="O82">
        <v>9895</v>
      </c>
      <c r="P82">
        <v>11607</v>
      </c>
      <c r="Q82">
        <v>11561</v>
      </c>
      <c r="R82">
        <v>11529</v>
      </c>
      <c r="S82">
        <v>10651</v>
      </c>
      <c r="T82">
        <v>10289</v>
      </c>
      <c r="U82">
        <v>14562</v>
      </c>
      <c r="V82">
        <v>13751</v>
      </c>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row>
    <row r="83" spans="1:97" s="2" customFormat="1" x14ac:dyDescent="0.3">
      <c r="A83" s="15"/>
      <c r="B83" s="1" t="s">
        <v>59</v>
      </c>
      <c r="C83" s="1" t="s">
        <v>24</v>
      </c>
      <c r="D83" s="5">
        <v>1181</v>
      </c>
      <c r="E83" s="5">
        <v>1418</v>
      </c>
      <c r="F83" s="5">
        <v>1666</v>
      </c>
      <c r="G83" s="5">
        <v>2546</v>
      </c>
      <c r="H83" s="5">
        <v>2517</v>
      </c>
      <c r="I83" s="5">
        <v>2635</v>
      </c>
      <c r="J83" s="5">
        <v>3097</v>
      </c>
      <c r="K83" s="5">
        <v>3178</v>
      </c>
      <c r="L83" s="5">
        <v>3669</v>
      </c>
      <c r="M83" s="5">
        <v>3498</v>
      </c>
      <c r="N83" s="5">
        <v>4361</v>
      </c>
      <c r="O83" s="5">
        <v>5158</v>
      </c>
      <c r="P83" s="5">
        <v>6011</v>
      </c>
      <c r="Q83" s="5">
        <v>6787</v>
      </c>
      <c r="R83" s="5">
        <v>6814</v>
      </c>
      <c r="S83" s="5">
        <v>5196</v>
      </c>
      <c r="T83" s="5">
        <v>5012</v>
      </c>
      <c r="U83" s="5">
        <v>6299</v>
      </c>
      <c r="V83" s="5">
        <v>6940</v>
      </c>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row>
    <row r="84" spans="1:97" s="6" customFormat="1" x14ac:dyDescent="0.3">
      <c r="A84" s="16"/>
      <c r="B84" s="4" t="s">
        <v>26</v>
      </c>
      <c r="D84" s="6">
        <f>D82-D83</f>
        <v>1482</v>
      </c>
      <c r="E84" s="6">
        <f t="shared" ref="E84:V84" si="9">E82-E83</f>
        <v>1606</v>
      </c>
      <c r="F84" s="6">
        <f t="shared" si="9"/>
        <v>1894</v>
      </c>
      <c r="G84" s="6">
        <f t="shared" si="9"/>
        <v>1711</v>
      </c>
      <c r="H84" s="6">
        <f t="shared" si="9"/>
        <v>2386</v>
      </c>
      <c r="I84" s="6">
        <f t="shared" si="9"/>
        <v>3239</v>
      </c>
      <c r="J84" s="6">
        <f t="shared" si="9"/>
        <v>2503</v>
      </c>
      <c r="K84" s="6">
        <f t="shared" si="9"/>
        <v>2159</v>
      </c>
      <c r="L84" s="6">
        <f t="shared" si="9"/>
        <v>3118</v>
      </c>
      <c r="M84" s="6">
        <f t="shared" si="9"/>
        <v>3700</v>
      </c>
      <c r="N84" s="6">
        <f t="shared" si="9"/>
        <v>3666</v>
      </c>
      <c r="O84" s="6">
        <f t="shared" si="9"/>
        <v>4737</v>
      </c>
      <c r="P84" s="6">
        <f t="shared" si="9"/>
        <v>5596</v>
      </c>
      <c r="Q84" s="6">
        <f t="shared" si="9"/>
        <v>4774</v>
      </c>
      <c r="R84" s="6">
        <f t="shared" si="9"/>
        <v>4715</v>
      </c>
      <c r="S84" s="6">
        <f t="shared" si="9"/>
        <v>5455</v>
      </c>
      <c r="T84" s="6">
        <f t="shared" si="9"/>
        <v>5277</v>
      </c>
      <c r="U84" s="6">
        <f t="shared" si="9"/>
        <v>8263</v>
      </c>
      <c r="V84" s="6">
        <f t="shared" si="9"/>
        <v>6811</v>
      </c>
    </row>
    <row r="86" spans="1:97" s="7" customFormat="1" x14ac:dyDescent="0.3">
      <c r="A86" s="31"/>
      <c r="B86" s="31"/>
      <c r="C86" s="13"/>
      <c r="D86" s="53" t="s">
        <v>0</v>
      </c>
      <c r="E86" s="53" t="s">
        <v>1</v>
      </c>
      <c r="F86" s="53" t="s">
        <v>2</v>
      </c>
      <c r="G86" s="53" t="s">
        <v>3</v>
      </c>
      <c r="H86" s="53" t="s">
        <v>4</v>
      </c>
      <c r="I86" s="53" t="s">
        <v>5</v>
      </c>
      <c r="J86" s="53" t="s">
        <v>6</v>
      </c>
      <c r="K86" s="53" t="s">
        <v>7</v>
      </c>
      <c r="L86" s="53" t="s">
        <v>8</v>
      </c>
      <c r="M86" s="53" t="s">
        <v>9</v>
      </c>
      <c r="N86" s="53" t="s">
        <v>10</v>
      </c>
      <c r="O86" s="53" t="s">
        <v>11</v>
      </c>
      <c r="P86" s="53" t="s">
        <v>12</v>
      </c>
      <c r="Q86" s="53" t="s">
        <v>13</v>
      </c>
      <c r="R86" s="53" t="s">
        <v>14</v>
      </c>
      <c r="S86" s="53" t="s">
        <v>15</v>
      </c>
      <c r="T86" s="53" t="s">
        <v>16</v>
      </c>
      <c r="U86" s="53" t="s">
        <v>17</v>
      </c>
      <c r="V86" s="54" t="s">
        <v>18</v>
      </c>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row>
    <row r="87" spans="1:97" s="49" customFormat="1" x14ac:dyDescent="0.3">
      <c r="A87" s="51" t="s">
        <v>116</v>
      </c>
      <c r="B87" s="47" t="s">
        <v>60</v>
      </c>
      <c r="C87" s="52" t="s">
        <v>98</v>
      </c>
      <c r="D87" s="48">
        <v>10307</v>
      </c>
      <c r="E87" s="48">
        <v>10248</v>
      </c>
      <c r="F87" s="48">
        <v>11421</v>
      </c>
      <c r="G87" s="48">
        <v>11797</v>
      </c>
      <c r="H87" s="48">
        <v>11780</v>
      </c>
      <c r="I87" s="48">
        <v>12506</v>
      </c>
      <c r="J87" s="48">
        <v>12602</v>
      </c>
      <c r="K87" s="48">
        <v>13327</v>
      </c>
      <c r="L87" s="48">
        <v>14504</v>
      </c>
      <c r="M87" s="48">
        <v>15051</v>
      </c>
      <c r="N87" s="48">
        <v>16432</v>
      </c>
      <c r="O87" s="48">
        <v>14979</v>
      </c>
      <c r="P87" s="48">
        <v>16173</v>
      </c>
      <c r="Q87" s="48">
        <v>17943</v>
      </c>
      <c r="R87" s="48">
        <v>16729</v>
      </c>
      <c r="S87" s="48">
        <v>16811</v>
      </c>
      <c r="T87" s="48">
        <v>14892</v>
      </c>
      <c r="U87" s="48">
        <v>14343</v>
      </c>
      <c r="V87" s="48">
        <v>14714</v>
      </c>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row>
    <row r="88" spans="1:97" s="2" customFormat="1" x14ac:dyDescent="0.3">
      <c r="A88" s="4"/>
      <c r="B88" s="1" t="s">
        <v>58</v>
      </c>
      <c r="C88" s="26" t="s">
        <v>99</v>
      </c>
      <c r="D88">
        <v>9500</v>
      </c>
      <c r="E88">
        <v>9481</v>
      </c>
      <c r="F88">
        <v>10242</v>
      </c>
      <c r="G88">
        <v>10315</v>
      </c>
      <c r="H88">
        <v>10741</v>
      </c>
      <c r="I88">
        <v>11627</v>
      </c>
      <c r="J88">
        <v>12284</v>
      </c>
      <c r="K88">
        <v>12856</v>
      </c>
      <c r="L88">
        <v>13751</v>
      </c>
      <c r="M88">
        <v>14608</v>
      </c>
      <c r="N88">
        <v>17878</v>
      </c>
      <c r="O88">
        <v>17238</v>
      </c>
      <c r="P88">
        <v>19195</v>
      </c>
      <c r="Q88">
        <v>20840</v>
      </c>
      <c r="R88">
        <v>20206</v>
      </c>
      <c r="S88">
        <v>19479</v>
      </c>
      <c r="T88">
        <v>18674</v>
      </c>
      <c r="U88">
        <v>17571</v>
      </c>
      <c r="V88">
        <v>18120</v>
      </c>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row>
    <row r="89" spans="1:97" s="7" customFormat="1" x14ac:dyDescent="0.3">
      <c r="A89" s="4"/>
      <c r="B89" s="4" t="s">
        <v>34</v>
      </c>
      <c r="C89" s="8"/>
      <c r="D89" s="8">
        <f>D87-D88</f>
        <v>807</v>
      </c>
      <c r="E89" s="8">
        <f t="shared" ref="E89:V89" si="10">E87-E88</f>
        <v>767</v>
      </c>
      <c r="F89" s="8">
        <f t="shared" si="10"/>
        <v>1179</v>
      </c>
      <c r="G89" s="8">
        <f t="shared" si="10"/>
        <v>1482</v>
      </c>
      <c r="H89" s="8">
        <f t="shared" si="10"/>
        <v>1039</v>
      </c>
      <c r="I89" s="8">
        <f t="shared" si="10"/>
        <v>879</v>
      </c>
      <c r="J89" s="8">
        <f t="shared" si="10"/>
        <v>318</v>
      </c>
      <c r="K89" s="8">
        <f t="shared" si="10"/>
        <v>471</v>
      </c>
      <c r="L89" s="8">
        <f t="shared" si="10"/>
        <v>753</v>
      </c>
      <c r="M89" s="8">
        <f t="shared" si="10"/>
        <v>443</v>
      </c>
      <c r="N89" s="8">
        <f t="shared" si="10"/>
        <v>-1446</v>
      </c>
      <c r="O89" s="8">
        <f t="shared" si="10"/>
        <v>-2259</v>
      </c>
      <c r="P89" s="8">
        <f t="shared" si="10"/>
        <v>-3022</v>
      </c>
      <c r="Q89" s="8">
        <f t="shared" si="10"/>
        <v>-2897</v>
      </c>
      <c r="R89" s="8">
        <f t="shared" si="10"/>
        <v>-3477</v>
      </c>
      <c r="S89" s="8">
        <f t="shared" si="10"/>
        <v>-2668</v>
      </c>
      <c r="T89" s="8">
        <f t="shared" si="10"/>
        <v>-3782</v>
      </c>
      <c r="U89" s="8">
        <f t="shared" si="10"/>
        <v>-3228</v>
      </c>
      <c r="V89" s="8">
        <f t="shared" si="10"/>
        <v>-3406</v>
      </c>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row>
    <row r="90" spans="1:97" s="2" customFormat="1" x14ac:dyDescent="0.3">
      <c r="A90" s="4"/>
      <c r="B90" s="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row>
    <row r="91" spans="1:97" s="2" customFormat="1" x14ac:dyDescent="0.3">
      <c r="A91" s="4"/>
      <c r="B91" s="1" t="s">
        <v>52</v>
      </c>
      <c r="C91" s="26" t="s">
        <v>100</v>
      </c>
      <c r="D91">
        <v>5887</v>
      </c>
      <c r="E91">
        <v>6398</v>
      </c>
      <c r="F91">
        <v>6399</v>
      </c>
      <c r="G91">
        <v>6521</v>
      </c>
      <c r="H91">
        <v>6478</v>
      </c>
      <c r="I91">
        <v>6847</v>
      </c>
      <c r="J91">
        <v>6628</v>
      </c>
      <c r="K91">
        <v>6989</v>
      </c>
      <c r="L91">
        <v>8249</v>
      </c>
      <c r="M91">
        <v>8181</v>
      </c>
      <c r="N91">
        <v>9153</v>
      </c>
      <c r="O91">
        <v>10628</v>
      </c>
      <c r="P91">
        <v>11369</v>
      </c>
      <c r="Q91">
        <v>11752</v>
      </c>
      <c r="R91">
        <v>11684</v>
      </c>
      <c r="S91">
        <v>10204</v>
      </c>
      <c r="T91">
        <v>9741</v>
      </c>
      <c r="U91">
        <v>11768</v>
      </c>
      <c r="V91">
        <v>10147</v>
      </c>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row>
    <row r="92" spans="1:97" s="2" customFormat="1" x14ac:dyDescent="0.3">
      <c r="A92" s="4"/>
      <c r="B92" s="1" t="s">
        <v>59</v>
      </c>
      <c r="C92" s="1" t="s">
        <v>101</v>
      </c>
      <c r="D92" s="5">
        <v>3769</v>
      </c>
      <c r="E92" s="5">
        <v>3970</v>
      </c>
      <c r="F92" s="5">
        <v>4534</v>
      </c>
      <c r="G92" s="5">
        <v>4479</v>
      </c>
      <c r="H92" s="5">
        <v>4305</v>
      </c>
      <c r="I92" s="5">
        <v>4929</v>
      </c>
      <c r="J92" s="5">
        <v>5608</v>
      </c>
      <c r="K92" s="5">
        <v>6213</v>
      </c>
      <c r="L92" s="5">
        <v>6388</v>
      </c>
      <c r="M92" s="5">
        <v>6710</v>
      </c>
      <c r="N92" s="5">
        <v>6614</v>
      </c>
      <c r="O92" s="5">
        <v>5818</v>
      </c>
      <c r="P92" s="5">
        <v>7258</v>
      </c>
      <c r="Q92" s="5">
        <v>8330</v>
      </c>
      <c r="R92" s="5">
        <v>7975</v>
      </c>
      <c r="S92" s="5">
        <v>6978</v>
      </c>
      <c r="T92" s="5">
        <v>6635</v>
      </c>
      <c r="U92" s="5">
        <v>6619</v>
      </c>
      <c r="V92" s="5">
        <v>6902</v>
      </c>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row>
    <row r="93" spans="1:97" s="7" customFormat="1" x14ac:dyDescent="0.3">
      <c r="A93" s="4"/>
      <c r="B93" s="4" t="s">
        <v>34</v>
      </c>
      <c r="C93" s="4"/>
      <c r="D93" s="8">
        <f>D91-D92</f>
        <v>2118</v>
      </c>
      <c r="E93" s="8">
        <f t="shared" ref="E93:V93" si="11">E91-E92</f>
        <v>2428</v>
      </c>
      <c r="F93" s="8">
        <f t="shared" si="11"/>
        <v>1865</v>
      </c>
      <c r="G93" s="8">
        <f t="shared" si="11"/>
        <v>2042</v>
      </c>
      <c r="H93" s="8">
        <f t="shared" si="11"/>
        <v>2173</v>
      </c>
      <c r="I93" s="8">
        <f t="shared" si="11"/>
        <v>1918</v>
      </c>
      <c r="J93" s="8">
        <f t="shared" si="11"/>
        <v>1020</v>
      </c>
      <c r="K93" s="8">
        <f t="shared" si="11"/>
        <v>776</v>
      </c>
      <c r="L93" s="8">
        <f t="shared" si="11"/>
        <v>1861</v>
      </c>
      <c r="M93" s="8">
        <f t="shared" si="11"/>
        <v>1471</v>
      </c>
      <c r="N93" s="8">
        <f t="shared" si="11"/>
        <v>2539</v>
      </c>
      <c r="O93" s="8">
        <f t="shared" si="11"/>
        <v>4810</v>
      </c>
      <c r="P93" s="8">
        <f t="shared" si="11"/>
        <v>4111</v>
      </c>
      <c r="Q93" s="8">
        <f t="shared" si="11"/>
        <v>3422</v>
      </c>
      <c r="R93" s="8">
        <f t="shared" si="11"/>
        <v>3709</v>
      </c>
      <c r="S93" s="8">
        <f t="shared" si="11"/>
        <v>3226</v>
      </c>
      <c r="T93" s="8">
        <f t="shared" si="11"/>
        <v>3106</v>
      </c>
      <c r="U93" s="8">
        <f t="shared" si="11"/>
        <v>5149</v>
      </c>
      <c r="V93" s="8">
        <f t="shared" si="11"/>
        <v>3245</v>
      </c>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row>
    <row r="95" spans="1:97" s="7" customFormat="1" x14ac:dyDescent="0.3">
      <c r="A95" s="31"/>
      <c r="B95" s="31"/>
      <c r="C95" s="13"/>
      <c r="D95" s="53">
        <v>1998</v>
      </c>
      <c r="E95" s="53" t="s">
        <v>1</v>
      </c>
      <c r="F95" s="53" t="s">
        <v>2</v>
      </c>
      <c r="G95" s="53" t="s">
        <v>3</v>
      </c>
      <c r="H95" s="53" t="s">
        <v>4</v>
      </c>
      <c r="I95" s="53" t="s">
        <v>5</v>
      </c>
      <c r="J95" s="53" t="s">
        <v>6</v>
      </c>
      <c r="K95" s="53" t="s">
        <v>7</v>
      </c>
      <c r="L95" s="53" t="s">
        <v>8</v>
      </c>
      <c r="M95" s="53" t="s">
        <v>9</v>
      </c>
      <c r="N95" s="53" t="s">
        <v>10</v>
      </c>
      <c r="O95" s="53" t="s">
        <v>11</v>
      </c>
      <c r="P95" s="53" t="s">
        <v>12</v>
      </c>
      <c r="Q95" s="53" t="s">
        <v>13</v>
      </c>
      <c r="R95" s="53" t="s">
        <v>14</v>
      </c>
      <c r="S95" s="53" t="s">
        <v>15</v>
      </c>
      <c r="T95" s="53" t="s">
        <v>16</v>
      </c>
      <c r="U95" s="53" t="s">
        <v>17</v>
      </c>
      <c r="V95" s="54" t="s">
        <v>18</v>
      </c>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row>
    <row r="96" spans="1:97" s="49" customFormat="1" ht="28.8" x14ac:dyDescent="0.3">
      <c r="A96" s="50" t="s">
        <v>117</v>
      </c>
      <c r="B96" s="47" t="s">
        <v>60</v>
      </c>
      <c r="C96" s="47" t="s">
        <v>27</v>
      </c>
      <c r="D96" s="48">
        <v>21220</v>
      </c>
      <c r="E96" s="48">
        <v>22416</v>
      </c>
      <c r="F96" s="48">
        <v>25585</v>
      </c>
      <c r="G96" s="48">
        <v>26872</v>
      </c>
      <c r="H96" s="48">
        <v>27223</v>
      </c>
      <c r="I96" s="48">
        <v>18779</v>
      </c>
      <c r="J96" s="48">
        <v>16412</v>
      </c>
      <c r="K96" s="48">
        <v>20134</v>
      </c>
      <c r="L96" s="64">
        <v>41445</v>
      </c>
      <c r="M96" s="48">
        <v>12517</v>
      </c>
      <c r="N96" s="48">
        <v>12650</v>
      </c>
      <c r="O96" s="48">
        <v>12264</v>
      </c>
      <c r="P96" s="48">
        <v>13061</v>
      </c>
      <c r="Q96" s="48">
        <v>12439</v>
      </c>
      <c r="R96" s="48">
        <v>10212</v>
      </c>
      <c r="S96" s="48">
        <v>10259</v>
      </c>
      <c r="T96" s="48">
        <v>11020</v>
      </c>
      <c r="U96" s="48">
        <v>10648</v>
      </c>
      <c r="V96" s="48">
        <v>11586</v>
      </c>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row>
    <row r="97" spans="1:97" s="2" customFormat="1" x14ac:dyDescent="0.3">
      <c r="A97" s="15"/>
      <c r="B97" s="1" t="s">
        <v>61</v>
      </c>
      <c r="C97" s="1" t="s">
        <v>28</v>
      </c>
      <c r="D97">
        <v>14671</v>
      </c>
      <c r="E97">
        <v>17623</v>
      </c>
      <c r="F97">
        <v>22250</v>
      </c>
      <c r="G97">
        <v>24812</v>
      </c>
      <c r="H97">
        <v>28261</v>
      </c>
      <c r="I97">
        <v>22153</v>
      </c>
      <c r="J97">
        <v>22065</v>
      </c>
      <c r="K97">
        <v>32430</v>
      </c>
      <c r="L97">
        <v>50247</v>
      </c>
      <c r="M97">
        <v>21606</v>
      </c>
      <c r="N97">
        <v>21736</v>
      </c>
      <c r="O97">
        <v>20398</v>
      </c>
      <c r="P97">
        <v>22139</v>
      </c>
      <c r="Q97">
        <v>21431</v>
      </c>
      <c r="R97">
        <v>21080</v>
      </c>
      <c r="S97">
        <v>21752</v>
      </c>
      <c r="T97">
        <v>20719</v>
      </c>
      <c r="U97">
        <v>21307</v>
      </c>
      <c r="V97">
        <v>21300</v>
      </c>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row>
    <row r="98" spans="1:97" s="6" customFormat="1" x14ac:dyDescent="0.3">
      <c r="A98" s="16"/>
      <c r="B98" s="4" t="s">
        <v>31</v>
      </c>
      <c r="D98" s="6">
        <f t="shared" ref="D98:V98" si="12">D96-D97</f>
        <v>6549</v>
      </c>
      <c r="E98" s="6">
        <f t="shared" si="12"/>
        <v>4793</v>
      </c>
      <c r="F98" s="6">
        <f t="shared" si="12"/>
        <v>3335</v>
      </c>
      <c r="G98" s="6">
        <f t="shared" si="12"/>
        <v>2060</v>
      </c>
      <c r="H98" s="6">
        <f t="shared" si="12"/>
        <v>-1038</v>
      </c>
      <c r="I98" s="6">
        <f t="shared" si="12"/>
        <v>-3374</v>
      </c>
      <c r="J98" s="6">
        <f t="shared" si="12"/>
        <v>-5653</v>
      </c>
      <c r="K98" s="6">
        <f t="shared" si="12"/>
        <v>-12296</v>
      </c>
      <c r="L98" s="6">
        <f t="shared" si="12"/>
        <v>-8802</v>
      </c>
      <c r="M98" s="6">
        <f t="shared" si="12"/>
        <v>-9089</v>
      </c>
      <c r="N98" s="6">
        <f t="shared" si="12"/>
        <v>-9086</v>
      </c>
      <c r="O98" s="6">
        <f t="shared" si="12"/>
        <v>-8134</v>
      </c>
      <c r="P98" s="6">
        <f t="shared" si="12"/>
        <v>-9078</v>
      </c>
      <c r="Q98" s="6">
        <f t="shared" si="12"/>
        <v>-8992</v>
      </c>
      <c r="R98" s="6">
        <f t="shared" si="12"/>
        <v>-10868</v>
      </c>
      <c r="S98" s="6">
        <f t="shared" si="12"/>
        <v>-11493</v>
      </c>
      <c r="T98" s="6">
        <f t="shared" si="12"/>
        <v>-9699</v>
      </c>
      <c r="U98" s="6">
        <f t="shared" si="12"/>
        <v>-10659</v>
      </c>
      <c r="V98" s="6">
        <f t="shared" si="12"/>
        <v>-9714</v>
      </c>
    </row>
    <row r="100" spans="1:97" s="2" customFormat="1" x14ac:dyDescent="0.3">
      <c r="A100" s="15"/>
      <c r="B100" s="1" t="s">
        <v>62</v>
      </c>
      <c r="C100" s="1" t="s">
        <v>29</v>
      </c>
      <c r="D100">
        <v>10116</v>
      </c>
      <c r="E100">
        <v>10415</v>
      </c>
      <c r="F100">
        <v>13103</v>
      </c>
      <c r="G100">
        <v>12298</v>
      </c>
      <c r="H100">
        <v>9461</v>
      </c>
      <c r="I100">
        <v>9455</v>
      </c>
      <c r="J100">
        <v>9806</v>
      </c>
      <c r="K100">
        <v>15319</v>
      </c>
      <c r="L100">
        <v>11922</v>
      </c>
      <c r="M100">
        <v>8301</v>
      </c>
      <c r="N100">
        <v>9257</v>
      </c>
      <c r="O100">
        <v>10058</v>
      </c>
      <c r="P100">
        <v>10859</v>
      </c>
      <c r="Q100">
        <v>11731</v>
      </c>
      <c r="R100">
        <v>11922</v>
      </c>
      <c r="S100">
        <v>12131</v>
      </c>
      <c r="T100">
        <v>11953</v>
      </c>
      <c r="U100">
        <v>12323</v>
      </c>
      <c r="V100">
        <v>13125</v>
      </c>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row>
    <row r="101" spans="1:97" s="2" customFormat="1" x14ac:dyDescent="0.3">
      <c r="A101" s="15"/>
      <c r="B101" s="1" t="s">
        <v>59</v>
      </c>
      <c r="C101" s="1" t="s">
        <v>30</v>
      </c>
      <c r="D101" s="5">
        <v>18818</v>
      </c>
      <c r="E101" s="5">
        <v>20796</v>
      </c>
      <c r="F101" s="5">
        <v>26900</v>
      </c>
      <c r="G101" s="5">
        <v>22358</v>
      </c>
      <c r="H101" s="5">
        <v>18229</v>
      </c>
      <c r="I101" s="5">
        <v>17639</v>
      </c>
      <c r="J101" s="5">
        <v>18683</v>
      </c>
      <c r="K101" s="5">
        <v>18342</v>
      </c>
      <c r="L101" s="5">
        <v>19732</v>
      </c>
      <c r="M101" s="5">
        <v>18179</v>
      </c>
      <c r="N101" s="5">
        <v>19004</v>
      </c>
      <c r="O101" s="5">
        <v>18617</v>
      </c>
      <c r="P101" s="5">
        <v>21343</v>
      </c>
      <c r="Q101" s="5">
        <v>21470</v>
      </c>
      <c r="R101" s="5">
        <v>21100</v>
      </c>
      <c r="S101" s="5">
        <v>21697</v>
      </c>
      <c r="T101" s="5">
        <v>21728</v>
      </c>
      <c r="U101" s="5">
        <v>22659</v>
      </c>
      <c r="V101" s="5">
        <v>25035</v>
      </c>
    </row>
    <row r="102" spans="1:97" s="6" customFormat="1" x14ac:dyDescent="0.3">
      <c r="A102" s="16"/>
      <c r="B102" s="4" t="s">
        <v>31</v>
      </c>
      <c r="D102" s="6">
        <f>D100-D101</f>
        <v>-8702</v>
      </c>
      <c r="E102" s="6">
        <f t="shared" ref="E102:V102" si="13">E100-E101</f>
        <v>-10381</v>
      </c>
      <c r="F102" s="6">
        <f t="shared" si="13"/>
        <v>-13797</v>
      </c>
      <c r="G102" s="6">
        <f t="shared" si="13"/>
        <v>-10060</v>
      </c>
      <c r="H102" s="6">
        <f t="shared" si="13"/>
        <v>-8768</v>
      </c>
      <c r="I102" s="6">
        <f t="shared" si="13"/>
        <v>-8184</v>
      </c>
      <c r="J102" s="6">
        <f t="shared" si="13"/>
        <v>-8877</v>
      </c>
      <c r="K102" s="6">
        <f t="shared" si="13"/>
        <v>-3023</v>
      </c>
      <c r="L102" s="6">
        <f t="shared" si="13"/>
        <v>-7810</v>
      </c>
      <c r="M102" s="6">
        <f t="shared" si="13"/>
        <v>-9878</v>
      </c>
      <c r="N102" s="6">
        <f t="shared" si="13"/>
        <v>-9747</v>
      </c>
      <c r="O102" s="6">
        <f t="shared" si="13"/>
        <v>-8559</v>
      </c>
      <c r="P102" s="6">
        <f t="shared" si="13"/>
        <v>-10484</v>
      </c>
      <c r="Q102" s="6">
        <f t="shared" si="13"/>
        <v>-9739</v>
      </c>
      <c r="R102" s="6">
        <f t="shared" si="13"/>
        <v>-9178</v>
      </c>
      <c r="S102" s="6">
        <f t="shared" si="13"/>
        <v>-9566</v>
      </c>
      <c r="T102" s="6">
        <f t="shared" si="13"/>
        <v>-9775</v>
      </c>
      <c r="U102" s="6">
        <f t="shared" si="13"/>
        <v>-10336</v>
      </c>
      <c r="V102" s="6">
        <f t="shared" si="13"/>
        <v>-11910</v>
      </c>
    </row>
    <row r="103" spans="1:97" s="6" customFormat="1" x14ac:dyDescent="0.3">
      <c r="A103" s="16"/>
      <c r="B103" s="4"/>
    </row>
    <row r="104" spans="1:97" s="6" customFormat="1" x14ac:dyDescent="0.3">
      <c r="A104" s="16" t="s">
        <v>298</v>
      </c>
      <c r="B104" s="4"/>
      <c r="D104" s="53">
        <v>1998</v>
      </c>
      <c r="E104" s="53" t="s">
        <v>1</v>
      </c>
      <c r="F104" s="53" t="s">
        <v>2</v>
      </c>
      <c r="G104" s="53" t="s">
        <v>3</v>
      </c>
      <c r="H104" s="53" t="s">
        <v>4</v>
      </c>
      <c r="I104" s="53" t="s">
        <v>5</v>
      </c>
      <c r="J104" s="53" t="s">
        <v>6</v>
      </c>
      <c r="K104" s="53" t="s">
        <v>7</v>
      </c>
      <c r="L104" s="53" t="s">
        <v>8</v>
      </c>
      <c r="M104" s="53" t="s">
        <v>9</v>
      </c>
      <c r="N104" s="53" t="s">
        <v>10</v>
      </c>
      <c r="O104" s="53" t="s">
        <v>11</v>
      </c>
      <c r="P104" s="53" t="s">
        <v>12</v>
      </c>
      <c r="Q104" s="53" t="s">
        <v>13</v>
      </c>
      <c r="R104" s="53" t="s">
        <v>14</v>
      </c>
      <c r="S104" s="53" t="s">
        <v>15</v>
      </c>
      <c r="T104" s="53" t="s">
        <v>16</v>
      </c>
      <c r="U104" s="53" t="s">
        <v>17</v>
      </c>
      <c r="V104" s="54" t="s">
        <v>18</v>
      </c>
    </row>
    <row r="105" spans="1:97" s="2" customFormat="1" x14ac:dyDescent="0.3">
      <c r="B105" s="4" t="s">
        <v>60</v>
      </c>
      <c r="C105" s="1" t="s">
        <v>302</v>
      </c>
      <c r="D105" s="91">
        <v>3920</v>
      </c>
      <c r="E105" s="91">
        <v>3209</v>
      </c>
      <c r="F105" s="91">
        <v>3795</v>
      </c>
      <c r="G105" s="91">
        <v>3710</v>
      </c>
      <c r="H105" s="91">
        <v>3636</v>
      </c>
      <c r="I105" s="91">
        <v>3774</v>
      </c>
      <c r="J105" s="91">
        <v>4967</v>
      </c>
      <c r="K105" s="91">
        <v>5686</v>
      </c>
      <c r="L105" s="91">
        <v>6737</v>
      </c>
      <c r="M105" s="91">
        <v>7819</v>
      </c>
      <c r="N105" s="91">
        <v>8083</v>
      </c>
      <c r="O105" s="91">
        <v>5204</v>
      </c>
      <c r="P105" s="91">
        <v>6485</v>
      </c>
      <c r="Q105" s="91">
        <v>8213</v>
      </c>
      <c r="R105" s="91">
        <v>6645</v>
      </c>
      <c r="S105" s="91">
        <v>6576</v>
      </c>
      <c r="T105" s="91">
        <v>6374</v>
      </c>
      <c r="U105" s="91">
        <v>5454</v>
      </c>
      <c r="V105" s="91">
        <v>5209</v>
      </c>
    </row>
    <row r="106" spans="1:97" s="2" customFormat="1" x14ac:dyDescent="0.3">
      <c r="B106" s="4" t="s">
        <v>58</v>
      </c>
      <c r="C106" s="1" t="s">
        <v>303</v>
      </c>
      <c r="D106" s="91">
        <v>4056</v>
      </c>
      <c r="E106" s="91">
        <v>3254</v>
      </c>
      <c r="F106" s="91">
        <v>3636</v>
      </c>
      <c r="G106" s="91">
        <v>3946</v>
      </c>
      <c r="H106" s="91">
        <v>4013</v>
      </c>
      <c r="I106" s="91">
        <v>4388</v>
      </c>
      <c r="J106" s="91">
        <v>5099</v>
      </c>
      <c r="K106" s="91">
        <v>5452</v>
      </c>
      <c r="L106" s="91">
        <v>6625</v>
      </c>
      <c r="M106" s="91">
        <v>7570</v>
      </c>
      <c r="N106" s="91">
        <v>8111</v>
      </c>
      <c r="O106" s="91">
        <v>6005</v>
      </c>
      <c r="P106" s="91">
        <v>7606</v>
      </c>
      <c r="Q106" s="91">
        <v>9712</v>
      </c>
      <c r="R106" s="91">
        <v>10324</v>
      </c>
      <c r="S106" s="91">
        <v>8663</v>
      </c>
      <c r="T106" s="91">
        <v>8568</v>
      </c>
      <c r="U106" s="91">
        <v>7573</v>
      </c>
      <c r="V106" s="91">
        <v>7973</v>
      </c>
    </row>
    <row r="107" spans="1:97" s="6" customFormat="1" x14ac:dyDescent="0.3">
      <c r="B107" s="16"/>
      <c r="C107" s="4" t="s">
        <v>34</v>
      </c>
      <c r="D107" s="6">
        <f>D105-D106</f>
        <v>-136</v>
      </c>
      <c r="E107" s="6">
        <f t="shared" ref="E107:V107" si="14">E105-E106</f>
        <v>-45</v>
      </c>
      <c r="F107" s="6">
        <f t="shared" si="14"/>
        <v>159</v>
      </c>
      <c r="G107" s="6">
        <f t="shared" si="14"/>
        <v>-236</v>
      </c>
      <c r="H107" s="6">
        <f t="shared" si="14"/>
        <v>-377</v>
      </c>
      <c r="I107" s="6">
        <f t="shared" si="14"/>
        <v>-614</v>
      </c>
      <c r="J107" s="6">
        <f t="shared" si="14"/>
        <v>-132</v>
      </c>
      <c r="K107" s="6">
        <f t="shared" si="14"/>
        <v>234</v>
      </c>
      <c r="L107" s="6">
        <f t="shared" si="14"/>
        <v>112</v>
      </c>
      <c r="M107" s="6">
        <f t="shared" si="14"/>
        <v>249</v>
      </c>
      <c r="N107" s="6">
        <f t="shared" si="14"/>
        <v>-28</v>
      </c>
      <c r="O107" s="6">
        <f t="shared" si="14"/>
        <v>-801</v>
      </c>
      <c r="P107" s="6">
        <f t="shared" si="14"/>
        <v>-1121</v>
      </c>
      <c r="Q107" s="6">
        <f t="shared" si="14"/>
        <v>-1499</v>
      </c>
      <c r="R107" s="6">
        <f t="shared" si="14"/>
        <v>-3679</v>
      </c>
      <c r="S107" s="6">
        <f t="shared" si="14"/>
        <v>-2087</v>
      </c>
      <c r="T107" s="6">
        <f t="shared" si="14"/>
        <v>-2194</v>
      </c>
      <c r="U107" s="6">
        <f t="shared" si="14"/>
        <v>-2119</v>
      </c>
      <c r="V107" s="6">
        <f t="shared" si="14"/>
        <v>-2764</v>
      </c>
    </row>
    <row r="108" spans="1:97" s="6" customFormat="1" x14ac:dyDescent="0.3">
      <c r="B108" s="16"/>
      <c r="C108" s="4"/>
    </row>
    <row r="109" spans="1:97" s="2" customFormat="1" x14ac:dyDescent="0.3">
      <c r="B109" s="4" t="s">
        <v>296</v>
      </c>
      <c r="C109" s="1" t="s">
        <v>304</v>
      </c>
      <c r="D109" s="91">
        <v>2135</v>
      </c>
      <c r="E109" s="91">
        <v>1992</v>
      </c>
      <c r="F109" s="91">
        <v>2799</v>
      </c>
      <c r="G109" s="91">
        <v>2575</v>
      </c>
      <c r="H109" s="91">
        <v>2108</v>
      </c>
      <c r="I109" s="91">
        <v>2378</v>
      </c>
      <c r="J109" s="91">
        <v>3485</v>
      </c>
      <c r="K109" s="91">
        <v>3908</v>
      </c>
      <c r="L109" s="91">
        <v>4298</v>
      </c>
      <c r="M109" s="91">
        <v>6436</v>
      </c>
      <c r="N109" s="91">
        <v>8363</v>
      </c>
      <c r="O109" s="91">
        <v>4439</v>
      </c>
      <c r="P109" s="91">
        <v>6214</v>
      </c>
      <c r="Q109" s="91">
        <v>9741</v>
      </c>
      <c r="R109" s="91">
        <v>8694</v>
      </c>
      <c r="S109" s="91">
        <v>10163</v>
      </c>
      <c r="T109" s="91">
        <v>11724</v>
      </c>
      <c r="U109" s="91">
        <v>11548</v>
      </c>
      <c r="V109" s="91">
        <v>10268</v>
      </c>
    </row>
    <row r="110" spans="1:97" s="2" customFormat="1" x14ac:dyDescent="0.3">
      <c r="B110" s="4" t="s">
        <v>297</v>
      </c>
      <c r="C110" s="1" t="s">
        <v>305</v>
      </c>
      <c r="D110" s="5">
        <v>3325</v>
      </c>
      <c r="E110" s="5">
        <v>2714</v>
      </c>
      <c r="F110" s="5">
        <v>3170</v>
      </c>
      <c r="G110" s="5">
        <v>3578</v>
      </c>
      <c r="H110" s="5">
        <v>3594</v>
      </c>
      <c r="I110" s="5">
        <v>3709</v>
      </c>
      <c r="J110" s="5">
        <v>3443</v>
      </c>
      <c r="K110" s="5">
        <v>3972</v>
      </c>
      <c r="L110" s="5">
        <v>7156</v>
      </c>
      <c r="M110" s="5">
        <v>7634</v>
      </c>
      <c r="N110" s="5">
        <v>7718</v>
      </c>
      <c r="O110" s="5">
        <v>7756</v>
      </c>
      <c r="P110" s="5">
        <v>8983</v>
      </c>
      <c r="Q110" s="5">
        <v>10464</v>
      </c>
      <c r="R110" s="5">
        <v>11730</v>
      </c>
      <c r="S110" s="5">
        <v>14979</v>
      </c>
      <c r="T110" s="5">
        <v>10278</v>
      </c>
      <c r="U110" s="5">
        <v>9113</v>
      </c>
      <c r="V110" s="5">
        <v>10165</v>
      </c>
    </row>
    <row r="111" spans="1:97" s="6" customFormat="1" x14ac:dyDescent="0.3">
      <c r="B111" s="16"/>
      <c r="C111" s="4" t="s">
        <v>34</v>
      </c>
      <c r="D111" s="6">
        <f>D109-D110</f>
        <v>-1190</v>
      </c>
      <c r="E111" s="6">
        <f t="shared" ref="E111:V111" si="15">E109-E110</f>
        <v>-722</v>
      </c>
      <c r="F111" s="6">
        <f t="shared" si="15"/>
        <v>-371</v>
      </c>
      <c r="G111" s="6">
        <f t="shared" si="15"/>
        <v>-1003</v>
      </c>
      <c r="H111" s="6">
        <f t="shared" si="15"/>
        <v>-1486</v>
      </c>
      <c r="I111" s="6">
        <f t="shared" si="15"/>
        <v>-1331</v>
      </c>
      <c r="J111" s="6">
        <f t="shared" si="15"/>
        <v>42</v>
      </c>
      <c r="K111" s="6">
        <f t="shared" si="15"/>
        <v>-64</v>
      </c>
      <c r="L111" s="6">
        <f t="shared" si="15"/>
        <v>-2858</v>
      </c>
      <c r="M111" s="6">
        <f t="shared" si="15"/>
        <v>-1198</v>
      </c>
      <c r="N111" s="6">
        <f t="shared" si="15"/>
        <v>645</v>
      </c>
      <c r="O111" s="6">
        <f t="shared" si="15"/>
        <v>-3317</v>
      </c>
      <c r="P111" s="6">
        <f t="shared" si="15"/>
        <v>-2769</v>
      </c>
      <c r="Q111" s="6">
        <f t="shared" si="15"/>
        <v>-723</v>
      </c>
      <c r="R111" s="6">
        <f t="shared" si="15"/>
        <v>-3036</v>
      </c>
      <c r="S111" s="6">
        <f t="shared" si="15"/>
        <v>-4816</v>
      </c>
      <c r="T111" s="6">
        <f t="shared" si="15"/>
        <v>1446</v>
      </c>
      <c r="U111" s="6">
        <f t="shared" si="15"/>
        <v>2435</v>
      </c>
      <c r="V111" s="6">
        <f t="shared" si="15"/>
        <v>103</v>
      </c>
    </row>
    <row r="112" spans="1:97" s="6" customFormat="1" x14ac:dyDescent="0.3">
      <c r="A112" s="16"/>
      <c r="B112" s="4"/>
    </row>
    <row r="113" spans="1:22" s="7" customFormat="1" x14ac:dyDescent="0.3">
      <c r="B113" s="31"/>
      <c r="C113" s="31"/>
      <c r="D113" s="53" t="s">
        <v>0</v>
      </c>
      <c r="E113" s="53" t="s">
        <v>1</v>
      </c>
      <c r="F113" s="53" t="s">
        <v>2</v>
      </c>
      <c r="G113" s="53" t="s">
        <v>3</v>
      </c>
      <c r="H113" s="53" t="s">
        <v>4</v>
      </c>
      <c r="I113" s="53" t="s">
        <v>5</v>
      </c>
      <c r="J113" s="53" t="s">
        <v>6</v>
      </c>
      <c r="K113" s="53" t="s">
        <v>7</v>
      </c>
      <c r="L113" s="53" t="s">
        <v>8</v>
      </c>
      <c r="M113" s="53" t="s">
        <v>9</v>
      </c>
      <c r="N113" s="53" t="s">
        <v>10</v>
      </c>
      <c r="O113" s="53" t="s">
        <v>11</v>
      </c>
      <c r="P113" s="53" t="s">
        <v>12</v>
      </c>
      <c r="Q113" s="53" t="s">
        <v>13</v>
      </c>
      <c r="R113" s="53" t="s">
        <v>14</v>
      </c>
      <c r="S113" s="53" t="s">
        <v>15</v>
      </c>
      <c r="T113" s="53" t="s">
        <v>16</v>
      </c>
      <c r="U113" s="53" t="s">
        <v>17</v>
      </c>
      <c r="V113" s="54" t="s">
        <v>18</v>
      </c>
    </row>
    <row r="114" spans="1:22" s="2" customFormat="1" x14ac:dyDescent="0.3">
      <c r="A114" s="7" t="s">
        <v>306</v>
      </c>
      <c r="B114" s="4" t="s">
        <v>60</v>
      </c>
      <c r="C114" s="25" t="s">
        <v>292</v>
      </c>
      <c r="D114" s="91">
        <v>4177</v>
      </c>
      <c r="E114" s="91">
        <v>4030</v>
      </c>
      <c r="F114" s="91">
        <v>3795</v>
      </c>
      <c r="G114" s="91">
        <v>3680</v>
      </c>
      <c r="H114" s="91">
        <v>3993</v>
      </c>
      <c r="I114" s="91">
        <v>4302</v>
      </c>
      <c r="J114" s="91">
        <v>4342</v>
      </c>
      <c r="K114" s="91">
        <v>4583</v>
      </c>
      <c r="L114" s="91">
        <v>4570</v>
      </c>
      <c r="M114" s="91">
        <v>5442</v>
      </c>
      <c r="N114" s="91">
        <v>6310</v>
      </c>
      <c r="O114" s="91">
        <v>6504</v>
      </c>
      <c r="P114" s="91">
        <v>7915</v>
      </c>
      <c r="Q114" s="91">
        <v>9926</v>
      </c>
      <c r="R114" s="91">
        <v>8231</v>
      </c>
      <c r="S114" s="91">
        <v>8201</v>
      </c>
      <c r="T114" s="91">
        <v>7716</v>
      </c>
      <c r="U114" s="91">
        <v>7163</v>
      </c>
      <c r="V114" s="91">
        <v>7908</v>
      </c>
    </row>
    <row r="115" spans="1:22" s="2" customFormat="1" x14ac:dyDescent="0.3">
      <c r="B115" s="4" t="s">
        <v>58</v>
      </c>
      <c r="C115" s="26" t="s">
        <v>293</v>
      </c>
      <c r="D115" s="91">
        <v>6882</v>
      </c>
      <c r="E115" s="91">
        <v>7157</v>
      </c>
      <c r="F115" s="91">
        <v>7111</v>
      </c>
      <c r="G115" s="91">
        <v>7613</v>
      </c>
      <c r="H115" s="91">
        <v>8069</v>
      </c>
      <c r="I115" s="91">
        <v>9423</v>
      </c>
      <c r="J115" s="91">
        <v>10000</v>
      </c>
      <c r="K115" s="91">
        <v>10682</v>
      </c>
      <c r="L115" s="91">
        <v>11278</v>
      </c>
      <c r="M115" s="91">
        <v>12302</v>
      </c>
      <c r="N115" s="91">
        <v>14901</v>
      </c>
      <c r="O115" s="91">
        <v>15679</v>
      </c>
      <c r="P115" s="91">
        <v>16024</v>
      </c>
      <c r="Q115" s="91">
        <v>17572</v>
      </c>
      <c r="R115" s="91">
        <v>18129</v>
      </c>
      <c r="S115" s="91">
        <v>19584</v>
      </c>
      <c r="T115" s="91">
        <v>19717</v>
      </c>
      <c r="U115" s="91">
        <v>19484</v>
      </c>
      <c r="V115" s="91">
        <v>20908</v>
      </c>
    </row>
    <row r="116" spans="1:22" s="6" customFormat="1" x14ac:dyDescent="0.3">
      <c r="B116" s="16" t="s">
        <v>34</v>
      </c>
      <c r="C116" s="4"/>
      <c r="D116" s="6">
        <f>D114-D115</f>
        <v>-2705</v>
      </c>
      <c r="E116" s="6">
        <f t="shared" ref="E116:V116" si="16">E114-E115</f>
        <v>-3127</v>
      </c>
      <c r="F116" s="6">
        <f t="shared" si="16"/>
        <v>-3316</v>
      </c>
      <c r="G116" s="6">
        <f t="shared" si="16"/>
        <v>-3933</v>
      </c>
      <c r="H116" s="6">
        <f t="shared" si="16"/>
        <v>-4076</v>
      </c>
      <c r="I116" s="6">
        <f t="shared" si="16"/>
        <v>-5121</v>
      </c>
      <c r="J116" s="6">
        <f t="shared" si="16"/>
        <v>-5658</v>
      </c>
      <c r="K116" s="6">
        <f t="shared" si="16"/>
        <v>-6099</v>
      </c>
      <c r="L116" s="6">
        <f t="shared" si="16"/>
        <v>-6708</v>
      </c>
      <c r="M116" s="6">
        <f t="shared" si="16"/>
        <v>-6860</v>
      </c>
      <c r="N116" s="6">
        <f t="shared" si="16"/>
        <v>-8591</v>
      </c>
      <c r="O116" s="6">
        <f t="shared" si="16"/>
        <v>-9175</v>
      </c>
      <c r="P116" s="6">
        <f t="shared" si="16"/>
        <v>-8109</v>
      </c>
      <c r="Q116" s="6">
        <f t="shared" si="16"/>
        <v>-7646</v>
      </c>
      <c r="R116" s="6">
        <f t="shared" si="16"/>
        <v>-9898</v>
      </c>
      <c r="S116" s="6">
        <f t="shared" si="16"/>
        <v>-11383</v>
      </c>
      <c r="T116" s="6">
        <f t="shared" si="16"/>
        <v>-12001</v>
      </c>
      <c r="U116" s="6">
        <f t="shared" si="16"/>
        <v>-12321</v>
      </c>
      <c r="V116" s="6">
        <f t="shared" si="16"/>
        <v>-13000</v>
      </c>
    </row>
    <row r="117" spans="1:22" s="6" customFormat="1" x14ac:dyDescent="0.3">
      <c r="B117" s="16"/>
      <c r="C117" s="4"/>
    </row>
    <row r="118" spans="1:22" s="2" customFormat="1" x14ac:dyDescent="0.3">
      <c r="B118" s="4" t="s">
        <v>296</v>
      </c>
      <c r="C118" s="26" t="s">
        <v>294</v>
      </c>
      <c r="D118" s="91">
        <v>1461</v>
      </c>
      <c r="E118" s="91">
        <v>1351</v>
      </c>
      <c r="F118" s="91">
        <v>1335</v>
      </c>
      <c r="G118" s="91">
        <v>1261</v>
      </c>
      <c r="H118" s="91">
        <v>1178</v>
      </c>
      <c r="I118" s="91">
        <v>1328</v>
      </c>
      <c r="J118" s="91">
        <v>1373</v>
      </c>
      <c r="K118" s="91">
        <v>1366</v>
      </c>
      <c r="L118" s="91">
        <v>1342</v>
      </c>
      <c r="M118" s="91">
        <v>1355</v>
      </c>
      <c r="N118" s="91">
        <v>1638</v>
      </c>
      <c r="O118" s="91">
        <v>1730</v>
      </c>
      <c r="P118" s="91">
        <v>2398</v>
      </c>
      <c r="Q118" s="91">
        <v>2970</v>
      </c>
      <c r="R118" s="91">
        <v>2694</v>
      </c>
      <c r="S118" s="91">
        <v>2948</v>
      </c>
      <c r="T118" s="91">
        <v>2933</v>
      </c>
      <c r="U118" s="91">
        <v>3042</v>
      </c>
      <c r="V118" s="91">
        <v>3458</v>
      </c>
    </row>
    <row r="119" spans="1:22" s="2" customFormat="1" x14ac:dyDescent="0.3">
      <c r="B119" s="4" t="s">
        <v>291</v>
      </c>
      <c r="C119" s="1" t="s">
        <v>295</v>
      </c>
      <c r="D119" s="5">
        <v>3182</v>
      </c>
      <c r="E119" s="5">
        <v>3141</v>
      </c>
      <c r="F119" s="5">
        <v>3127</v>
      </c>
      <c r="G119" s="5">
        <v>3335</v>
      </c>
      <c r="H119" s="5">
        <v>3267</v>
      </c>
      <c r="I119" s="5">
        <v>3393</v>
      </c>
      <c r="J119" s="5">
        <v>3473</v>
      </c>
      <c r="K119" s="5">
        <v>3684</v>
      </c>
      <c r="L119" s="5">
        <v>3979</v>
      </c>
      <c r="M119" s="5">
        <v>4220</v>
      </c>
      <c r="N119" s="5">
        <v>5347</v>
      </c>
      <c r="O119" s="5">
        <v>5333</v>
      </c>
      <c r="P119" s="5">
        <v>5590</v>
      </c>
      <c r="Q119" s="5">
        <v>6086</v>
      </c>
      <c r="R119" s="5">
        <v>5954</v>
      </c>
      <c r="S119" s="5">
        <v>6185</v>
      </c>
      <c r="T119" s="5">
        <v>6260</v>
      </c>
      <c r="U119" s="5">
        <v>6072</v>
      </c>
      <c r="V119" s="5">
        <v>6488</v>
      </c>
    </row>
    <row r="120" spans="1:22" s="6" customFormat="1" x14ac:dyDescent="0.3">
      <c r="B120" s="16" t="s">
        <v>34</v>
      </c>
      <c r="C120" s="4"/>
      <c r="D120" s="6">
        <f>D118-D119</f>
        <v>-1721</v>
      </c>
      <c r="E120" s="6">
        <f t="shared" ref="E120:V120" si="17">E118-E119</f>
        <v>-1790</v>
      </c>
      <c r="F120" s="6">
        <f t="shared" si="17"/>
        <v>-1792</v>
      </c>
      <c r="G120" s="6">
        <f t="shared" si="17"/>
        <v>-2074</v>
      </c>
      <c r="H120" s="6">
        <f t="shared" si="17"/>
        <v>-2089</v>
      </c>
      <c r="I120" s="6">
        <f t="shared" si="17"/>
        <v>-2065</v>
      </c>
      <c r="J120" s="6">
        <f t="shared" si="17"/>
        <v>-2100</v>
      </c>
      <c r="K120" s="6">
        <f t="shared" si="17"/>
        <v>-2318</v>
      </c>
      <c r="L120" s="6">
        <f t="shared" si="17"/>
        <v>-2637</v>
      </c>
      <c r="M120" s="6">
        <f t="shared" si="17"/>
        <v>-2865</v>
      </c>
      <c r="N120" s="6">
        <f t="shared" si="17"/>
        <v>-3709</v>
      </c>
      <c r="O120" s="6">
        <f t="shared" si="17"/>
        <v>-3603</v>
      </c>
      <c r="P120" s="6">
        <f t="shared" si="17"/>
        <v>-3192</v>
      </c>
      <c r="Q120" s="6">
        <f t="shared" si="17"/>
        <v>-3116</v>
      </c>
      <c r="R120" s="6">
        <f t="shared" si="17"/>
        <v>-3260</v>
      </c>
      <c r="S120" s="6">
        <f t="shared" si="17"/>
        <v>-3237</v>
      </c>
      <c r="T120" s="6">
        <f t="shared" si="17"/>
        <v>-3327</v>
      </c>
      <c r="U120" s="6">
        <f t="shared" si="17"/>
        <v>-3030</v>
      </c>
      <c r="V120" s="6">
        <f t="shared" si="17"/>
        <v>-3030</v>
      </c>
    </row>
    <row r="121" spans="1:22" s="6" customFormat="1" x14ac:dyDescent="0.3">
      <c r="B121" s="16"/>
      <c r="C121" s="4"/>
    </row>
    <row r="122" spans="1:22" s="7" customFormat="1" x14ac:dyDescent="0.3">
      <c r="B122" s="31"/>
      <c r="C122" s="31"/>
      <c r="D122" s="53" t="s">
        <v>0</v>
      </c>
      <c r="E122" s="53" t="s">
        <v>1</v>
      </c>
      <c r="F122" s="53" t="s">
        <v>2</v>
      </c>
      <c r="G122" s="53" t="s">
        <v>3</v>
      </c>
      <c r="H122" s="53" t="s">
        <v>4</v>
      </c>
      <c r="I122" s="53" t="s">
        <v>5</v>
      </c>
      <c r="J122" s="53" t="s">
        <v>6</v>
      </c>
      <c r="K122" s="53" t="s">
        <v>7</v>
      </c>
      <c r="L122" s="53" t="s">
        <v>8</v>
      </c>
      <c r="M122" s="53" t="s">
        <v>9</v>
      </c>
      <c r="N122" s="53" t="s">
        <v>10</v>
      </c>
      <c r="O122" s="53" t="s">
        <v>11</v>
      </c>
      <c r="P122" s="53" t="s">
        <v>12</v>
      </c>
      <c r="Q122" s="53" t="s">
        <v>13</v>
      </c>
      <c r="R122" s="53" t="s">
        <v>14</v>
      </c>
      <c r="S122" s="53" t="s">
        <v>15</v>
      </c>
      <c r="T122" s="53" t="s">
        <v>16</v>
      </c>
      <c r="U122" s="53" t="s">
        <v>17</v>
      </c>
      <c r="V122" s="54" t="s">
        <v>18</v>
      </c>
    </row>
    <row r="123" spans="1:22" s="49" customFormat="1" x14ac:dyDescent="0.3">
      <c r="A123" s="46" t="s">
        <v>307</v>
      </c>
      <c r="B123" s="47" t="s">
        <v>60</v>
      </c>
      <c r="C123" s="47" t="s">
        <v>32</v>
      </c>
      <c r="D123" s="48">
        <v>4183</v>
      </c>
      <c r="E123" s="48">
        <v>4063</v>
      </c>
      <c r="F123" s="48">
        <v>4723</v>
      </c>
      <c r="G123" s="48">
        <v>4374</v>
      </c>
      <c r="H123" s="48">
        <v>3846</v>
      </c>
      <c r="I123" s="48">
        <v>3777</v>
      </c>
      <c r="J123" s="48">
        <v>3666</v>
      </c>
      <c r="K123" s="48">
        <v>3650</v>
      </c>
      <c r="L123" s="48">
        <v>3702</v>
      </c>
      <c r="M123" s="48">
        <v>4260</v>
      </c>
      <c r="N123" s="48">
        <v>4371</v>
      </c>
      <c r="O123" s="48">
        <v>3628</v>
      </c>
      <c r="P123" s="48">
        <v>4251</v>
      </c>
      <c r="Q123" s="48">
        <v>4831</v>
      </c>
      <c r="R123" s="48">
        <v>4365</v>
      </c>
      <c r="S123" s="48">
        <v>4427</v>
      </c>
      <c r="T123" s="48">
        <v>4782</v>
      </c>
      <c r="U123" s="48">
        <v>4670</v>
      </c>
      <c r="V123" s="48">
        <v>4807</v>
      </c>
    </row>
    <row r="124" spans="1:22" s="2" customFormat="1" x14ac:dyDescent="0.3">
      <c r="A124" s="15"/>
      <c r="B124" s="1" t="s">
        <v>58</v>
      </c>
      <c r="C124" s="1" t="s">
        <v>33</v>
      </c>
      <c r="D124">
        <v>4348</v>
      </c>
      <c r="E124">
        <v>4421</v>
      </c>
      <c r="F124">
        <v>4827</v>
      </c>
      <c r="G124">
        <v>4919</v>
      </c>
      <c r="H124">
        <v>4829</v>
      </c>
      <c r="I124">
        <v>5059</v>
      </c>
      <c r="J124">
        <v>5274</v>
      </c>
      <c r="K124">
        <v>5417</v>
      </c>
      <c r="L124">
        <v>5380</v>
      </c>
      <c r="M124">
        <v>6190</v>
      </c>
      <c r="N124">
        <v>6622</v>
      </c>
      <c r="O124">
        <v>6134</v>
      </c>
      <c r="P124">
        <v>6813</v>
      </c>
      <c r="Q124">
        <v>7207</v>
      </c>
      <c r="R124">
        <v>7338</v>
      </c>
      <c r="S124">
        <v>7821</v>
      </c>
      <c r="T124">
        <v>8106</v>
      </c>
      <c r="U124">
        <v>8278</v>
      </c>
      <c r="V124">
        <v>9396</v>
      </c>
    </row>
    <row r="125" spans="1:22" s="6" customFormat="1" x14ac:dyDescent="0.3">
      <c r="A125" s="16"/>
      <c r="B125" s="4" t="s">
        <v>34</v>
      </c>
      <c r="D125" s="6">
        <f>D123-D124</f>
        <v>-165</v>
      </c>
      <c r="E125" s="6">
        <f t="shared" ref="E125:V125" si="18">E123-E124</f>
        <v>-358</v>
      </c>
      <c r="F125" s="6">
        <f t="shared" si="18"/>
        <v>-104</v>
      </c>
      <c r="G125" s="6">
        <f t="shared" si="18"/>
        <v>-545</v>
      </c>
      <c r="H125" s="6">
        <f t="shared" si="18"/>
        <v>-983</v>
      </c>
      <c r="I125" s="6">
        <f t="shared" si="18"/>
        <v>-1282</v>
      </c>
      <c r="J125" s="6">
        <f t="shared" si="18"/>
        <v>-1608</v>
      </c>
      <c r="K125" s="6">
        <f t="shared" si="18"/>
        <v>-1767</v>
      </c>
      <c r="L125" s="6">
        <f t="shared" si="18"/>
        <v>-1678</v>
      </c>
      <c r="M125" s="6">
        <f t="shared" si="18"/>
        <v>-1930</v>
      </c>
      <c r="N125" s="6">
        <f t="shared" si="18"/>
        <v>-2251</v>
      </c>
      <c r="O125" s="6">
        <f t="shared" si="18"/>
        <v>-2506</v>
      </c>
      <c r="P125" s="6">
        <f t="shared" si="18"/>
        <v>-2562</v>
      </c>
      <c r="Q125" s="6">
        <f t="shared" si="18"/>
        <v>-2376</v>
      </c>
      <c r="R125" s="6">
        <f t="shared" si="18"/>
        <v>-2973</v>
      </c>
      <c r="S125" s="6">
        <f t="shared" si="18"/>
        <v>-3394</v>
      </c>
      <c r="T125" s="6">
        <f t="shared" si="18"/>
        <v>-3324</v>
      </c>
      <c r="U125" s="6">
        <f t="shared" si="18"/>
        <v>-3608</v>
      </c>
      <c r="V125" s="6">
        <f t="shared" si="18"/>
        <v>-4589</v>
      </c>
    </row>
    <row r="127" spans="1:22" s="2" customFormat="1" x14ac:dyDescent="0.3">
      <c r="A127" s="15"/>
      <c r="B127" s="1" t="s">
        <v>52</v>
      </c>
      <c r="C127" s="1" t="s">
        <v>35</v>
      </c>
      <c r="D127">
        <v>2987</v>
      </c>
      <c r="E127">
        <v>2970</v>
      </c>
      <c r="F127">
        <v>3305</v>
      </c>
      <c r="G127">
        <v>3244</v>
      </c>
      <c r="H127">
        <v>2831</v>
      </c>
      <c r="I127">
        <v>3085</v>
      </c>
      <c r="J127">
        <v>3144</v>
      </c>
      <c r="K127">
        <v>3036</v>
      </c>
      <c r="L127">
        <v>3386</v>
      </c>
      <c r="M127">
        <v>3919</v>
      </c>
      <c r="N127">
        <v>4644</v>
      </c>
      <c r="O127">
        <v>4133</v>
      </c>
      <c r="P127">
        <v>4613</v>
      </c>
      <c r="Q127">
        <v>5278</v>
      </c>
      <c r="R127">
        <v>5452</v>
      </c>
      <c r="S127">
        <v>5253</v>
      </c>
      <c r="T127">
        <v>5434</v>
      </c>
      <c r="U127">
        <v>5491</v>
      </c>
      <c r="V127">
        <v>5516</v>
      </c>
    </row>
    <row r="128" spans="1:22" s="2" customFormat="1" x14ac:dyDescent="0.3">
      <c r="A128" s="15"/>
      <c r="B128" s="1" t="s">
        <v>59</v>
      </c>
      <c r="C128" s="1" t="s">
        <v>36</v>
      </c>
      <c r="D128" s="5">
        <v>3655</v>
      </c>
      <c r="E128" s="5">
        <v>4152</v>
      </c>
      <c r="F128" s="5">
        <v>5251</v>
      </c>
      <c r="G128" s="5">
        <v>4378</v>
      </c>
      <c r="H128" s="5">
        <v>3829</v>
      </c>
      <c r="I128" s="5">
        <v>3927</v>
      </c>
      <c r="J128" s="5">
        <v>4307</v>
      </c>
      <c r="K128" s="5">
        <v>4117</v>
      </c>
      <c r="L128" s="5">
        <v>4888</v>
      </c>
      <c r="M128" s="5">
        <v>5413</v>
      </c>
      <c r="N128" s="5">
        <v>5790</v>
      </c>
      <c r="O128" s="5">
        <v>5481</v>
      </c>
      <c r="P128" s="5">
        <v>6793</v>
      </c>
      <c r="Q128" s="5">
        <v>7461</v>
      </c>
      <c r="R128" s="5">
        <v>7570</v>
      </c>
      <c r="S128" s="5">
        <v>8043</v>
      </c>
      <c r="T128" s="5">
        <v>8571</v>
      </c>
      <c r="U128" s="5">
        <v>9111</v>
      </c>
      <c r="V128" s="5">
        <v>9892</v>
      </c>
    </row>
    <row r="129" spans="1:98" s="6" customFormat="1" x14ac:dyDescent="0.3">
      <c r="A129" s="16"/>
      <c r="B129" s="4" t="s">
        <v>34</v>
      </c>
      <c r="D129" s="6">
        <f>D127-D128</f>
        <v>-668</v>
      </c>
      <c r="E129" s="6">
        <f t="shared" ref="E129:V129" si="19">E127-E128</f>
        <v>-1182</v>
      </c>
      <c r="F129" s="6">
        <f t="shared" si="19"/>
        <v>-1946</v>
      </c>
      <c r="G129" s="6">
        <f t="shared" si="19"/>
        <v>-1134</v>
      </c>
      <c r="H129" s="6">
        <f t="shared" si="19"/>
        <v>-998</v>
      </c>
      <c r="I129" s="6">
        <f t="shared" si="19"/>
        <v>-842</v>
      </c>
      <c r="J129" s="6">
        <f t="shared" si="19"/>
        <v>-1163</v>
      </c>
      <c r="K129" s="6">
        <f t="shared" si="19"/>
        <v>-1081</v>
      </c>
      <c r="L129" s="6">
        <f t="shared" si="19"/>
        <v>-1502</v>
      </c>
      <c r="M129" s="6">
        <f t="shared" si="19"/>
        <v>-1494</v>
      </c>
      <c r="N129" s="6">
        <f t="shared" si="19"/>
        <v>-1146</v>
      </c>
      <c r="O129" s="6">
        <f t="shared" si="19"/>
        <v>-1348</v>
      </c>
      <c r="P129" s="6">
        <f t="shared" si="19"/>
        <v>-2180</v>
      </c>
      <c r="Q129" s="6">
        <f t="shared" si="19"/>
        <v>-2183</v>
      </c>
      <c r="R129" s="6">
        <f t="shared" si="19"/>
        <v>-2118</v>
      </c>
      <c r="S129" s="6">
        <f t="shared" si="19"/>
        <v>-2790</v>
      </c>
      <c r="T129" s="6">
        <f t="shared" si="19"/>
        <v>-3137</v>
      </c>
      <c r="U129" s="6">
        <f t="shared" si="19"/>
        <v>-3620</v>
      </c>
      <c r="V129" s="6">
        <f t="shared" si="19"/>
        <v>-4376</v>
      </c>
    </row>
    <row r="131" spans="1:98" s="7" customFormat="1" x14ac:dyDescent="0.3">
      <c r="A131" s="31" t="s">
        <v>300</v>
      </c>
      <c r="B131" s="31"/>
      <c r="C131" s="13"/>
      <c r="D131" s="53" t="s">
        <v>0</v>
      </c>
      <c r="E131" s="53" t="s">
        <v>1</v>
      </c>
      <c r="F131" s="53" t="s">
        <v>2</v>
      </c>
      <c r="G131" s="53" t="s">
        <v>3</v>
      </c>
      <c r="H131" s="53" t="s">
        <v>4</v>
      </c>
      <c r="I131" s="53" t="s">
        <v>5</v>
      </c>
      <c r="J131" s="53" t="s">
        <v>6</v>
      </c>
      <c r="K131" s="53" t="s">
        <v>7</v>
      </c>
      <c r="L131" s="53" t="s">
        <v>8</v>
      </c>
      <c r="M131" s="53" t="s">
        <v>9</v>
      </c>
      <c r="N131" s="53" t="s">
        <v>10</v>
      </c>
      <c r="O131" s="53" t="s">
        <v>11</v>
      </c>
      <c r="P131" s="53" t="s">
        <v>12</v>
      </c>
      <c r="Q131" s="53" t="s">
        <v>13</v>
      </c>
      <c r="R131" s="53" t="s">
        <v>14</v>
      </c>
      <c r="S131" s="53" t="s">
        <v>15</v>
      </c>
      <c r="T131" s="53" t="s">
        <v>16</v>
      </c>
      <c r="U131" s="53" t="s">
        <v>17</v>
      </c>
      <c r="V131" s="54" t="s">
        <v>18</v>
      </c>
    </row>
    <row r="132" spans="1:98" s="2" customFormat="1" x14ac:dyDescent="0.3">
      <c r="B132" s="4" t="s">
        <v>60</v>
      </c>
      <c r="C132" s="25" t="s">
        <v>308</v>
      </c>
      <c r="D132" s="91">
        <v>1382</v>
      </c>
      <c r="E132" s="91">
        <v>1426</v>
      </c>
      <c r="F132" s="91">
        <v>1390</v>
      </c>
      <c r="G132" s="91">
        <v>1424</v>
      </c>
      <c r="H132" s="91">
        <v>1494</v>
      </c>
      <c r="I132" s="91">
        <v>1648</v>
      </c>
      <c r="J132" s="91">
        <v>1584</v>
      </c>
      <c r="K132" s="91">
        <v>1522</v>
      </c>
      <c r="L132" s="91">
        <v>1605</v>
      </c>
      <c r="M132" s="91">
        <v>1894</v>
      </c>
      <c r="N132" s="91">
        <v>2203</v>
      </c>
      <c r="O132" s="91">
        <v>2376</v>
      </c>
      <c r="P132" s="91">
        <v>2622</v>
      </c>
      <c r="Q132" s="91">
        <v>2943</v>
      </c>
      <c r="R132" s="91">
        <v>2662</v>
      </c>
      <c r="S132" s="91">
        <v>2724</v>
      </c>
      <c r="T132" s="91">
        <v>2607</v>
      </c>
      <c r="U132" s="91">
        <v>2404</v>
      </c>
      <c r="V132" s="91">
        <v>2608</v>
      </c>
    </row>
    <row r="133" spans="1:98" s="2" customFormat="1" x14ac:dyDescent="0.3">
      <c r="B133" s="4" t="s">
        <v>58</v>
      </c>
      <c r="C133" s="26" t="s">
        <v>309</v>
      </c>
      <c r="D133" s="91">
        <v>2192</v>
      </c>
      <c r="E133" s="91">
        <v>2282</v>
      </c>
      <c r="F133" s="91">
        <v>2052</v>
      </c>
      <c r="G133" s="91">
        <v>2137</v>
      </c>
      <c r="H133" s="91">
        <v>2256</v>
      </c>
      <c r="I133" s="91">
        <v>2589</v>
      </c>
      <c r="J133" s="91">
        <v>2669</v>
      </c>
      <c r="K133" s="91">
        <v>2795</v>
      </c>
      <c r="L133" s="91">
        <v>3039</v>
      </c>
      <c r="M133" s="91">
        <v>3244</v>
      </c>
      <c r="N133" s="91">
        <v>3595</v>
      </c>
      <c r="O133" s="91">
        <v>3928</v>
      </c>
      <c r="P133" s="91">
        <v>4070</v>
      </c>
      <c r="Q133" s="91">
        <v>4413</v>
      </c>
      <c r="R133" s="91">
        <v>4532</v>
      </c>
      <c r="S133" s="91">
        <v>4793</v>
      </c>
      <c r="T133" s="91">
        <v>4720</v>
      </c>
      <c r="U133" s="91">
        <v>4612</v>
      </c>
      <c r="V133" s="91">
        <v>4937</v>
      </c>
    </row>
    <row r="134" spans="1:98" s="7" customFormat="1" x14ac:dyDescent="0.3">
      <c r="B134" s="31" t="s">
        <v>34</v>
      </c>
      <c r="C134" s="31"/>
      <c r="D134" s="13">
        <f>D132-D133</f>
        <v>-810</v>
      </c>
      <c r="E134" s="13">
        <f t="shared" ref="E134:V134" si="20">E132-E133</f>
        <v>-856</v>
      </c>
      <c r="F134" s="13">
        <f t="shared" si="20"/>
        <v>-662</v>
      </c>
      <c r="G134" s="13">
        <f t="shared" si="20"/>
        <v>-713</v>
      </c>
      <c r="H134" s="13">
        <f t="shared" si="20"/>
        <v>-762</v>
      </c>
      <c r="I134" s="13">
        <f t="shared" si="20"/>
        <v>-941</v>
      </c>
      <c r="J134" s="13">
        <f t="shared" si="20"/>
        <v>-1085</v>
      </c>
      <c r="K134" s="13">
        <f t="shared" si="20"/>
        <v>-1273</v>
      </c>
      <c r="L134" s="13">
        <f t="shared" si="20"/>
        <v>-1434</v>
      </c>
      <c r="M134" s="13">
        <f t="shared" si="20"/>
        <v>-1350</v>
      </c>
      <c r="N134" s="13">
        <f t="shared" si="20"/>
        <v>-1392</v>
      </c>
      <c r="O134" s="13">
        <f t="shared" si="20"/>
        <v>-1552</v>
      </c>
      <c r="P134" s="13">
        <f t="shared" si="20"/>
        <v>-1448</v>
      </c>
      <c r="Q134" s="13">
        <f t="shared" si="20"/>
        <v>-1470</v>
      </c>
      <c r="R134" s="13">
        <f t="shared" si="20"/>
        <v>-1870</v>
      </c>
      <c r="S134" s="13">
        <f t="shared" si="20"/>
        <v>-2069</v>
      </c>
      <c r="T134" s="13">
        <f t="shared" si="20"/>
        <v>-2113</v>
      </c>
      <c r="U134" s="13">
        <f t="shared" si="20"/>
        <v>-2208</v>
      </c>
      <c r="V134" s="13">
        <f t="shared" si="20"/>
        <v>-2329</v>
      </c>
    </row>
    <row r="135" spans="1:98" s="7" customFormat="1" x14ac:dyDescent="0.3">
      <c r="B135" s="31"/>
      <c r="C135" s="31"/>
      <c r="D135" s="13"/>
      <c r="E135" s="4"/>
      <c r="F135" s="4"/>
      <c r="G135" s="4"/>
      <c r="H135" s="4"/>
      <c r="I135" s="4"/>
      <c r="J135" s="4"/>
      <c r="K135" s="4"/>
      <c r="L135" s="4"/>
      <c r="M135" s="4"/>
      <c r="N135" s="4"/>
      <c r="O135" s="4"/>
      <c r="P135" s="4"/>
      <c r="Q135" s="4"/>
      <c r="R135" s="4"/>
      <c r="S135" s="4"/>
      <c r="T135" s="4"/>
      <c r="U135" s="4"/>
      <c r="V135" s="4"/>
    </row>
    <row r="136" spans="1:98" s="2" customFormat="1" x14ac:dyDescent="0.3">
      <c r="B136" s="4" t="s">
        <v>296</v>
      </c>
      <c r="C136" s="26" t="s">
        <v>310</v>
      </c>
      <c r="D136" s="91">
        <v>1631</v>
      </c>
      <c r="E136" s="91">
        <v>1711</v>
      </c>
      <c r="F136" s="91">
        <v>1807</v>
      </c>
      <c r="G136" s="91">
        <v>1927</v>
      </c>
      <c r="H136" s="91">
        <v>1958</v>
      </c>
      <c r="I136" s="91">
        <v>1978</v>
      </c>
      <c r="J136" s="91">
        <v>1909</v>
      </c>
      <c r="K136" s="91">
        <v>2070</v>
      </c>
      <c r="L136" s="91">
        <v>2189</v>
      </c>
      <c r="M136" s="91">
        <v>2284</v>
      </c>
      <c r="N136" s="91">
        <v>2507</v>
      </c>
      <c r="O136" s="91">
        <v>2733</v>
      </c>
      <c r="P136" s="91">
        <v>3187</v>
      </c>
      <c r="Q136" s="91">
        <v>4128</v>
      </c>
      <c r="R136" s="91">
        <v>4366</v>
      </c>
      <c r="S136" s="91">
        <v>4431</v>
      </c>
      <c r="T136" s="91">
        <v>4206</v>
      </c>
      <c r="U136" s="91">
        <v>4142</v>
      </c>
      <c r="V136" s="91">
        <v>4477</v>
      </c>
    </row>
    <row r="137" spans="1:98" s="2" customFormat="1" x14ac:dyDescent="0.3">
      <c r="B137" s="4" t="s">
        <v>297</v>
      </c>
      <c r="C137" s="1" t="s">
        <v>311</v>
      </c>
      <c r="D137" s="5">
        <v>599</v>
      </c>
      <c r="E137" s="5">
        <v>704</v>
      </c>
      <c r="F137" s="5">
        <v>807</v>
      </c>
      <c r="G137" s="5">
        <v>930</v>
      </c>
      <c r="H137" s="5">
        <v>1023</v>
      </c>
      <c r="I137" s="5">
        <v>1107</v>
      </c>
      <c r="J137" s="5">
        <v>1205</v>
      </c>
      <c r="K137" s="5">
        <v>1182</v>
      </c>
      <c r="L137" s="5">
        <v>1160</v>
      </c>
      <c r="M137" s="5">
        <v>1212</v>
      </c>
      <c r="N137" s="5">
        <v>1275</v>
      </c>
      <c r="O137" s="5">
        <v>1226</v>
      </c>
      <c r="P137" s="5">
        <v>1323</v>
      </c>
      <c r="Q137" s="5">
        <v>1270</v>
      </c>
      <c r="R137" s="5">
        <v>1235</v>
      </c>
      <c r="S137" s="5">
        <v>1266</v>
      </c>
      <c r="T137" s="5">
        <v>1263</v>
      </c>
      <c r="U137" s="5">
        <v>1326</v>
      </c>
      <c r="V137" s="5">
        <v>1371</v>
      </c>
    </row>
    <row r="138" spans="1:98" s="7" customFormat="1" x14ac:dyDescent="0.3">
      <c r="A138" s="31"/>
      <c r="B138" s="31"/>
      <c r="C138" s="13"/>
      <c r="D138" s="4">
        <f>D136-D137</f>
        <v>1032</v>
      </c>
      <c r="E138" s="4">
        <f t="shared" ref="E138:V138" si="21">E136-E137</f>
        <v>1007</v>
      </c>
      <c r="F138" s="4">
        <f t="shared" si="21"/>
        <v>1000</v>
      </c>
      <c r="G138" s="4">
        <f t="shared" si="21"/>
        <v>997</v>
      </c>
      <c r="H138" s="4">
        <f t="shared" si="21"/>
        <v>935</v>
      </c>
      <c r="I138" s="4">
        <f t="shared" si="21"/>
        <v>871</v>
      </c>
      <c r="J138" s="4">
        <f t="shared" si="21"/>
        <v>704</v>
      </c>
      <c r="K138" s="4">
        <f t="shared" si="21"/>
        <v>888</v>
      </c>
      <c r="L138" s="4">
        <f t="shared" si="21"/>
        <v>1029</v>
      </c>
      <c r="M138" s="4">
        <f t="shared" si="21"/>
        <v>1072</v>
      </c>
      <c r="N138" s="4">
        <f t="shared" si="21"/>
        <v>1232</v>
      </c>
      <c r="O138" s="4">
        <f t="shared" si="21"/>
        <v>1507</v>
      </c>
      <c r="P138" s="4">
        <f t="shared" si="21"/>
        <v>1864</v>
      </c>
      <c r="Q138" s="4">
        <f t="shared" si="21"/>
        <v>2858</v>
      </c>
      <c r="R138" s="4">
        <f t="shared" si="21"/>
        <v>3131</v>
      </c>
      <c r="S138" s="4">
        <f t="shared" si="21"/>
        <v>3165</v>
      </c>
      <c r="T138" s="4">
        <f t="shared" si="21"/>
        <v>2943</v>
      </c>
      <c r="U138" s="4">
        <f t="shared" si="21"/>
        <v>2816</v>
      </c>
      <c r="V138" s="4">
        <f t="shared" si="21"/>
        <v>3106</v>
      </c>
    </row>
    <row r="139" spans="1:98" s="7" customFormat="1" x14ac:dyDescent="0.3">
      <c r="A139" s="31"/>
      <c r="B139" s="31"/>
      <c r="C139" s="13"/>
      <c r="D139" s="4"/>
      <c r="E139" s="4"/>
      <c r="F139" s="4"/>
      <c r="G139" s="4"/>
      <c r="H139" s="4"/>
      <c r="I139" s="4"/>
      <c r="J139" s="4"/>
      <c r="K139" s="4"/>
      <c r="L139" s="4"/>
      <c r="M139" s="4"/>
      <c r="N139" s="4"/>
      <c r="O139" s="4"/>
      <c r="P139" s="4"/>
      <c r="Q139" s="4"/>
      <c r="R139" s="4"/>
      <c r="S139" s="4"/>
      <c r="T139" s="4"/>
      <c r="U139" s="4"/>
      <c r="V139" s="31"/>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row>
    <row r="140" spans="1:98" s="2" customFormat="1" x14ac:dyDescent="0.3">
      <c r="A140" s="4"/>
      <c r="B140" s="1"/>
      <c r="C140" s="1"/>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row>
    <row r="141" spans="1:98" s="7" customFormat="1" x14ac:dyDescent="0.3">
      <c r="A141" s="65" t="s">
        <v>134</v>
      </c>
      <c r="B141" s="65" t="s">
        <v>135</v>
      </c>
      <c r="C141" s="4"/>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row>
    <row r="142" spans="1:98" s="2" customFormat="1" x14ac:dyDescent="0.3">
      <c r="A142" s="4"/>
      <c r="B142" s="4"/>
      <c r="C142" s="1"/>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row>
    <row r="143" spans="1:98" s="2" customFormat="1" x14ac:dyDescent="0.3">
      <c r="A143" s="4"/>
      <c r="B143" s="1"/>
      <c r="C143" s="1"/>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row>
    <row r="144" spans="1:98" s="2" customFormat="1" x14ac:dyDescent="0.3">
      <c r="A144" s="4"/>
      <c r="B144" s="1"/>
      <c r="C144" s="1"/>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row>
    <row r="145" spans="1:99" s="7" customFormat="1" x14ac:dyDescent="0.3">
      <c r="A145" s="4"/>
      <c r="B145" s="4"/>
      <c r="C145" s="4"/>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row>
    <row r="146" spans="1:99" s="2" customFormat="1" x14ac:dyDescent="0.3">
      <c r="A146" s="4"/>
      <c r="B146" s="4"/>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row>
    <row r="147" spans="1:99" s="2" customFormat="1" x14ac:dyDescent="0.3">
      <c r="A147" s="4"/>
      <c r="B147" s="1"/>
      <c r="C147" s="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row>
    <row r="148" spans="1:99" s="2" customFormat="1" x14ac:dyDescent="0.3">
      <c r="A148" s="4"/>
      <c r="B148" s="1"/>
      <c r="C148" s="26"/>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row>
    <row r="149" spans="1:99" s="7" customFormat="1" x14ac:dyDescent="0.3">
      <c r="A149" s="4"/>
      <c r="B149" s="4"/>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row>
    <row r="150" spans="1:99" s="2" customFormat="1" x14ac:dyDescent="0.3">
      <c r="A150" s="4"/>
      <c r="B150" s="4"/>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row>
    <row r="151" spans="1:99" s="2" customFormat="1" x14ac:dyDescent="0.3">
      <c r="A151" s="4"/>
      <c r="B151" s="1"/>
      <c r="C151" s="26"/>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row>
    <row r="152" spans="1:99" s="2" customFormat="1" x14ac:dyDescent="0.3">
      <c r="A152" s="4"/>
      <c r="B152" s="1"/>
      <c r="C152" s="1"/>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row>
    <row r="153" spans="1:99" s="7" customFormat="1" x14ac:dyDescent="0.3">
      <c r="A153" s="4"/>
      <c r="B153" s="4"/>
      <c r="C153" s="4"/>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row>
    <row r="154" spans="1:99" s="2" customFormat="1" x14ac:dyDescent="0.3">
      <c r="A154" s="4"/>
      <c r="B154" s="4"/>
      <c r="C154" s="1"/>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row>
    <row r="155" spans="1:99" s="2" customFormat="1" x14ac:dyDescent="0.3">
      <c r="A155" s="4"/>
      <c r="B155" s="4"/>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row>
    <row r="157" spans="1:99" s="42" customFormat="1" x14ac:dyDescent="0.3">
      <c r="A157" s="41"/>
    </row>
    <row r="158" spans="1:99" s="44" customFormat="1" x14ac:dyDescent="0.3">
      <c r="A158" s="43"/>
    </row>
    <row r="159" spans="1:99" s="2" customFormat="1" x14ac:dyDescent="0.3">
      <c r="A159" s="32"/>
      <c r="B159" s="32"/>
      <c r="C159" s="3"/>
      <c r="D159" s="4"/>
      <c r="E159" s="4"/>
      <c r="F159" s="4"/>
      <c r="G159" s="4"/>
      <c r="H159" s="4"/>
      <c r="I159" s="4"/>
      <c r="J159" s="4"/>
      <c r="K159" s="4"/>
      <c r="L159" s="4"/>
      <c r="M159" s="4"/>
      <c r="N159" s="4"/>
      <c r="O159" s="4"/>
      <c r="P159" s="4"/>
      <c r="Q159" s="4"/>
      <c r="R159" s="4"/>
      <c r="S159" s="4"/>
      <c r="T159" s="4"/>
      <c r="U159" s="4"/>
      <c r="V159" s="31"/>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row>
    <row r="160" spans="1:99" s="7" customFormat="1" x14ac:dyDescent="0.3">
      <c r="A160" s="31"/>
      <c r="B160" s="31"/>
      <c r="C160" s="31"/>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row>
    <row r="161" spans="1:96" s="2" customFormat="1" x14ac:dyDescent="0.3">
      <c r="A161" s="23"/>
      <c r="B161" s="23"/>
      <c r="C161" s="24"/>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row>
    <row r="162" spans="1:96" s="2" customFormat="1" x14ac:dyDescent="0.3">
      <c r="A162" s="23"/>
      <c r="B162" s="23"/>
      <c r="C162" s="30"/>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row>
    <row r="163" spans="1:96" s="2" customFormat="1" x14ac:dyDescent="0.3">
      <c r="A163" s="23"/>
      <c r="B163" s="23"/>
      <c r="C163" s="24"/>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row>
    <row r="164" spans="1:96" s="2" customFormat="1" x14ac:dyDescent="0.3">
      <c r="A164" s="23"/>
      <c r="B164" s="23"/>
      <c r="C164" s="2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row>
    <row r="165" spans="1:96" s="2" customFormat="1" x14ac:dyDescent="0.3">
      <c r="A165" s="23"/>
      <c r="B165" s="23"/>
      <c r="C165" s="30"/>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row>
    <row r="166" spans="1:96" s="2" customFormat="1" x14ac:dyDescent="0.3">
      <c r="A166" s="23"/>
      <c r="B166" s="23"/>
      <c r="C166" s="30"/>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row>
    <row r="167" spans="1:96" s="2" customFormat="1" x14ac:dyDescent="0.3">
      <c r="A167" s="23"/>
      <c r="B167" s="23"/>
      <c r="C167" s="30"/>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row>
    <row r="168" spans="1:96" s="2" customFormat="1" x14ac:dyDescent="0.3">
      <c r="A168" s="23"/>
      <c r="B168" s="23"/>
      <c r="C168" s="30"/>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row>
    <row r="169" spans="1:96" s="2" customFormat="1" x14ac:dyDescent="0.3">
      <c r="A169" s="23"/>
      <c r="B169" s="30"/>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row>
    <row r="170" spans="1:96" s="2" customFormat="1" x14ac:dyDescent="0.3">
      <c r="A170" s="23"/>
      <c r="B170" s="3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row>
    <row r="171" spans="1:96" s="2" customFormat="1" x14ac:dyDescent="0.3">
      <c r="A171" s="14"/>
      <c r="B171" s="23"/>
      <c r="C171" s="24"/>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row>
    <row r="172" spans="1:96" s="2" customFormat="1" x14ac:dyDescent="0.3">
      <c r="A172" s="23"/>
      <c r="B172" s="23"/>
      <c r="C172" s="27"/>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row>
    <row r="173" spans="1:96" x14ac:dyDescent="0.3">
      <c r="B173" s="12"/>
    </row>
    <row r="174" spans="1:96" s="2" customFormat="1" x14ac:dyDescent="0.3">
      <c r="A174" s="23"/>
      <c r="B174" s="1"/>
      <c r="C174" s="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row>
    <row r="175" spans="1:96" s="2" customFormat="1" x14ac:dyDescent="0.3">
      <c r="A175" s="23"/>
      <c r="B175" s="1"/>
      <c r="C175" s="26"/>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row>
    <row r="176" spans="1:96" s="6" customFormat="1" x14ac:dyDescent="0.3">
      <c r="A176" s="16"/>
      <c r="B176" s="4"/>
    </row>
    <row r="177" spans="1:97" x14ac:dyDescent="0.3">
      <c r="B177" s="4"/>
    </row>
    <row r="178" spans="1:97" s="2" customFormat="1" x14ac:dyDescent="0.3">
      <c r="A178" s="23"/>
      <c r="B178" s="1"/>
      <c r="C178" s="26"/>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row>
    <row r="179" spans="1:97" s="2" customFormat="1" x14ac:dyDescent="0.3">
      <c r="A179" s="23"/>
      <c r="B179" s="1"/>
      <c r="C179" s="1"/>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row>
    <row r="180" spans="1:97" s="6" customFormat="1" x14ac:dyDescent="0.3">
      <c r="A180" s="16"/>
      <c r="B180" s="4"/>
    </row>
    <row r="185" spans="1:97" s="2" customFormat="1" ht="15" customHeight="1" x14ac:dyDescent="0.3">
      <c r="A185" s="14"/>
      <c r="B185" s="1"/>
      <c r="C185" s="1"/>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row>
    <row r="186" spans="1:97" s="2" customFormat="1" x14ac:dyDescent="0.3">
      <c r="A186" s="15"/>
      <c r="B186" s="1"/>
      <c r="C186" s="1"/>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row>
    <row r="187" spans="1:97" s="6" customFormat="1" x14ac:dyDescent="0.3">
      <c r="A187" s="16"/>
      <c r="B187" s="4"/>
    </row>
    <row r="188" spans="1:97" s="6" customFormat="1" x14ac:dyDescent="0.3">
      <c r="A188" s="16"/>
      <c r="B188" s="4"/>
    </row>
    <row r="189" spans="1:97" s="2" customFormat="1" x14ac:dyDescent="0.3">
      <c r="A189" s="15"/>
      <c r="B189" s="1"/>
      <c r="C189" s="1"/>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row>
    <row r="190" spans="1:97" s="2" customFormat="1" x14ac:dyDescent="0.3">
      <c r="A190" s="15"/>
      <c r="B190" s="1"/>
      <c r="C190" s="1"/>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row>
    <row r="191" spans="1:97" s="6" customFormat="1" x14ac:dyDescent="0.3">
      <c r="A191" s="16"/>
      <c r="B191" s="4"/>
    </row>
  </sheetData>
  <mergeCells count="1">
    <mergeCell ref="A3:R3"/>
  </mergeCells>
  <hyperlinks>
    <hyperlink ref="AB16" r:id="rId1" xr:uid="{0FF4F69B-DA83-4511-ADAD-136128DC82CD}"/>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B20AE-25C9-4E90-B417-AAB2C5276E82}">
  <dimension ref="A1:Q119"/>
  <sheetViews>
    <sheetView workbookViewId="0">
      <selection activeCell="A2" sqref="A2"/>
    </sheetView>
  </sheetViews>
  <sheetFormatPr defaultRowHeight="14.4" x14ac:dyDescent="0.3"/>
  <cols>
    <col min="1" max="1" width="3.5546875" style="91" customWidth="1"/>
    <col min="2" max="2" width="42.6640625" style="91" customWidth="1"/>
    <col min="3" max="14" width="8.88671875" style="91"/>
    <col min="15" max="15" width="9.5546875" style="91" bestFit="1" customWidth="1"/>
    <col min="16" max="256" width="8.88671875" style="91"/>
    <col min="257" max="257" width="3.5546875" style="91" customWidth="1"/>
    <col min="258" max="258" width="42.6640625" style="91" customWidth="1"/>
    <col min="259" max="270" width="8.88671875" style="91"/>
    <col min="271" max="271" width="9.5546875" style="91" bestFit="1" customWidth="1"/>
    <col min="272" max="512" width="8.88671875" style="91"/>
    <col min="513" max="513" width="3.5546875" style="91" customWidth="1"/>
    <col min="514" max="514" width="42.6640625" style="91" customWidth="1"/>
    <col min="515" max="526" width="8.88671875" style="91"/>
    <col min="527" max="527" width="9.5546875" style="91" bestFit="1" customWidth="1"/>
    <col min="528" max="768" width="8.88671875" style="91"/>
    <col min="769" max="769" width="3.5546875" style="91" customWidth="1"/>
    <col min="770" max="770" width="42.6640625" style="91" customWidth="1"/>
    <col min="771" max="782" width="8.88671875" style="91"/>
    <col min="783" max="783" width="9.5546875" style="91" bestFit="1" customWidth="1"/>
    <col min="784" max="1024" width="8.88671875" style="91"/>
    <col min="1025" max="1025" width="3.5546875" style="91" customWidth="1"/>
    <col min="1026" max="1026" width="42.6640625" style="91" customWidth="1"/>
    <col min="1027" max="1038" width="8.88671875" style="91"/>
    <col min="1039" max="1039" width="9.5546875" style="91" bestFit="1" customWidth="1"/>
    <col min="1040" max="1280" width="8.88671875" style="91"/>
    <col min="1281" max="1281" width="3.5546875" style="91" customWidth="1"/>
    <col min="1282" max="1282" width="42.6640625" style="91" customWidth="1"/>
    <col min="1283" max="1294" width="8.88671875" style="91"/>
    <col min="1295" max="1295" width="9.5546875" style="91" bestFit="1" customWidth="1"/>
    <col min="1296" max="1536" width="8.88671875" style="91"/>
    <col min="1537" max="1537" width="3.5546875" style="91" customWidth="1"/>
    <col min="1538" max="1538" width="42.6640625" style="91" customWidth="1"/>
    <col min="1539" max="1550" width="8.88671875" style="91"/>
    <col min="1551" max="1551" width="9.5546875" style="91" bestFit="1" customWidth="1"/>
    <col min="1552" max="1792" width="8.88671875" style="91"/>
    <col min="1793" max="1793" width="3.5546875" style="91" customWidth="1"/>
    <col min="1794" max="1794" width="42.6640625" style="91" customWidth="1"/>
    <col min="1795" max="1806" width="8.88671875" style="91"/>
    <col min="1807" max="1807" width="9.5546875" style="91" bestFit="1" customWidth="1"/>
    <col min="1808" max="2048" width="8.88671875" style="91"/>
    <col min="2049" max="2049" width="3.5546875" style="91" customWidth="1"/>
    <col min="2050" max="2050" width="42.6640625" style="91" customWidth="1"/>
    <col min="2051" max="2062" width="8.88671875" style="91"/>
    <col min="2063" max="2063" width="9.5546875" style="91" bestFit="1" customWidth="1"/>
    <col min="2064" max="2304" width="8.88671875" style="91"/>
    <col min="2305" max="2305" width="3.5546875" style="91" customWidth="1"/>
    <col min="2306" max="2306" width="42.6640625" style="91" customWidth="1"/>
    <col min="2307" max="2318" width="8.88671875" style="91"/>
    <col min="2319" max="2319" width="9.5546875" style="91" bestFit="1" customWidth="1"/>
    <col min="2320" max="2560" width="8.88671875" style="91"/>
    <col min="2561" max="2561" width="3.5546875" style="91" customWidth="1"/>
    <col min="2562" max="2562" width="42.6640625" style="91" customWidth="1"/>
    <col min="2563" max="2574" width="8.88671875" style="91"/>
    <col min="2575" max="2575" width="9.5546875" style="91" bestFit="1" customWidth="1"/>
    <col min="2576" max="2816" width="8.88671875" style="91"/>
    <col min="2817" max="2817" width="3.5546875" style="91" customWidth="1"/>
    <col min="2818" max="2818" width="42.6640625" style="91" customWidth="1"/>
    <col min="2819" max="2830" width="8.88671875" style="91"/>
    <col min="2831" max="2831" width="9.5546875" style="91" bestFit="1" customWidth="1"/>
    <col min="2832" max="3072" width="8.88671875" style="91"/>
    <col min="3073" max="3073" width="3.5546875" style="91" customWidth="1"/>
    <col min="3074" max="3074" width="42.6640625" style="91" customWidth="1"/>
    <col min="3075" max="3086" width="8.88671875" style="91"/>
    <col min="3087" max="3087" width="9.5546875" style="91" bestFit="1" customWidth="1"/>
    <col min="3088" max="3328" width="8.88671875" style="91"/>
    <col min="3329" max="3329" width="3.5546875" style="91" customWidth="1"/>
    <col min="3330" max="3330" width="42.6640625" style="91" customWidth="1"/>
    <col min="3331" max="3342" width="8.88671875" style="91"/>
    <col min="3343" max="3343" width="9.5546875" style="91" bestFit="1" customWidth="1"/>
    <col min="3344" max="3584" width="8.88671875" style="91"/>
    <col min="3585" max="3585" width="3.5546875" style="91" customWidth="1"/>
    <col min="3586" max="3586" width="42.6640625" style="91" customWidth="1"/>
    <col min="3587" max="3598" width="8.88671875" style="91"/>
    <col min="3599" max="3599" width="9.5546875" style="91" bestFit="1" customWidth="1"/>
    <col min="3600" max="3840" width="8.88671875" style="91"/>
    <col min="3841" max="3841" width="3.5546875" style="91" customWidth="1"/>
    <col min="3842" max="3842" width="42.6640625" style="91" customWidth="1"/>
    <col min="3843" max="3854" width="8.88671875" style="91"/>
    <col min="3855" max="3855" width="9.5546875" style="91" bestFit="1" customWidth="1"/>
    <col min="3856" max="4096" width="8.88671875" style="91"/>
    <col min="4097" max="4097" width="3.5546875" style="91" customWidth="1"/>
    <col min="4098" max="4098" width="42.6640625" style="91" customWidth="1"/>
    <col min="4099" max="4110" width="8.88671875" style="91"/>
    <col min="4111" max="4111" width="9.5546875" style="91" bestFit="1" customWidth="1"/>
    <col min="4112" max="4352" width="8.88671875" style="91"/>
    <col min="4353" max="4353" width="3.5546875" style="91" customWidth="1"/>
    <col min="4354" max="4354" width="42.6640625" style="91" customWidth="1"/>
    <col min="4355" max="4366" width="8.88671875" style="91"/>
    <col min="4367" max="4367" width="9.5546875" style="91" bestFit="1" customWidth="1"/>
    <col min="4368" max="4608" width="8.88671875" style="91"/>
    <col min="4609" max="4609" width="3.5546875" style="91" customWidth="1"/>
    <col min="4610" max="4610" width="42.6640625" style="91" customWidth="1"/>
    <col min="4611" max="4622" width="8.88671875" style="91"/>
    <col min="4623" max="4623" width="9.5546875" style="91" bestFit="1" customWidth="1"/>
    <col min="4624" max="4864" width="8.88671875" style="91"/>
    <col min="4865" max="4865" width="3.5546875" style="91" customWidth="1"/>
    <col min="4866" max="4866" width="42.6640625" style="91" customWidth="1"/>
    <col min="4867" max="4878" width="8.88671875" style="91"/>
    <col min="4879" max="4879" width="9.5546875" style="91" bestFit="1" customWidth="1"/>
    <col min="4880" max="5120" width="8.88671875" style="91"/>
    <col min="5121" max="5121" width="3.5546875" style="91" customWidth="1"/>
    <col min="5122" max="5122" width="42.6640625" style="91" customWidth="1"/>
    <col min="5123" max="5134" width="8.88671875" style="91"/>
    <col min="5135" max="5135" width="9.5546875" style="91" bestFit="1" customWidth="1"/>
    <col min="5136" max="5376" width="8.88671875" style="91"/>
    <col min="5377" max="5377" width="3.5546875" style="91" customWidth="1"/>
    <col min="5378" max="5378" width="42.6640625" style="91" customWidth="1"/>
    <col min="5379" max="5390" width="8.88671875" style="91"/>
    <col min="5391" max="5391" width="9.5546875" style="91" bestFit="1" customWidth="1"/>
    <col min="5392" max="5632" width="8.88671875" style="91"/>
    <col min="5633" max="5633" width="3.5546875" style="91" customWidth="1"/>
    <col min="5634" max="5634" width="42.6640625" style="91" customWidth="1"/>
    <col min="5635" max="5646" width="8.88671875" style="91"/>
    <col min="5647" max="5647" width="9.5546875" style="91" bestFit="1" customWidth="1"/>
    <col min="5648" max="5888" width="8.88671875" style="91"/>
    <col min="5889" max="5889" width="3.5546875" style="91" customWidth="1"/>
    <col min="5890" max="5890" width="42.6640625" style="91" customWidth="1"/>
    <col min="5891" max="5902" width="8.88671875" style="91"/>
    <col min="5903" max="5903" width="9.5546875" style="91" bestFit="1" customWidth="1"/>
    <col min="5904" max="6144" width="8.88671875" style="91"/>
    <col min="6145" max="6145" width="3.5546875" style="91" customWidth="1"/>
    <col min="6146" max="6146" width="42.6640625" style="91" customWidth="1"/>
    <col min="6147" max="6158" width="8.88671875" style="91"/>
    <col min="6159" max="6159" width="9.5546875" style="91" bestFit="1" customWidth="1"/>
    <col min="6160" max="6400" width="8.88671875" style="91"/>
    <col min="6401" max="6401" width="3.5546875" style="91" customWidth="1"/>
    <col min="6402" max="6402" width="42.6640625" style="91" customWidth="1"/>
    <col min="6403" max="6414" width="8.88671875" style="91"/>
    <col min="6415" max="6415" width="9.5546875" style="91" bestFit="1" customWidth="1"/>
    <col min="6416" max="6656" width="8.88671875" style="91"/>
    <col min="6657" max="6657" width="3.5546875" style="91" customWidth="1"/>
    <col min="6658" max="6658" width="42.6640625" style="91" customWidth="1"/>
    <col min="6659" max="6670" width="8.88671875" style="91"/>
    <col min="6671" max="6671" width="9.5546875" style="91" bestFit="1" customWidth="1"/>
    <col min="6672" max="6912" width="8.88671875" style="91"/>
    <col min="6913" max="6913" width="3.5546875" style="91" customWidth="1"/>
    <col min="6914" max="6914" width="42.6640625" style="91" customWidth="1"/>
    <col min="6915" max="6926" width="8.88671875" style="91"/>
    <col min="6927" max="6927" width="9.5546875" style="91" bestFit="1" customWidth="1"/>
    <col min="6928" max="7168" width="8.88671875" style="91"/>
    <col min="7169" max="7169" width="3.5546875" style="91" customWidth="1"/>
    <col min="7170" max="7170" width="42.6640625" style="91" customWidth="1"/>
    <col min="7171" max="7182" width="8.88671875" style="91"/>
    <col min="7183" max="7183" width="9.5546875" style="91" bestFit="1" customWidth="1"/>
    <col min="7184" max="7424" width="8.88671875" style="91"/>
    <col min="7425" max="7425" width="3.5546875" style="91" customWidth="1"/>
    <col min="7426" max="7426" width="42.6640625" style="91" customWidth="1"/>
    <col min="7427" max="7438" width="8.88671875" style="91"/>
    <col min="7439" max="7439" width="9.5546875" style="91" bestFit="1" customWidth="1"/>
    <col min="7440" max="7680" width="8.88671875" style="91"/>
    <col min="7681" max="7681" width="3.5546875" style="91" customWidth="1"/>
    <col min="7682" max="7682" width="42.6640625" style="91" customWidth="1"/>
    <col min="7683" max="7694" width="8.88671875" style="91"/>
    <col min="7695" max="7695" width="9.5546875" style="91" bestFit="1" customWidth="1"/>
    <col min="7696" max="7936" width="8.88671875" style="91"/>
    <col min="7937" max="7937" width="3.5546875" style="91" customWidth="1"/>
    <col min="7938" max="7938" width="42.6640625" style="91" customWidth="1"/>
    <col min="7939" max="7950" width="8.88671875" style="91"/>
    <col min="7951" max="7951" width="9.5546875" style="91" bestFit="1" customWidth="1"/>
    <col min="7952" max="8192" width="8.88671875" style="91"/>
    <col min="8193" max="8193" width="3.5546875" style="91" customWidth="1"/>
    <col min="8194" max="8194" width="42.6640625" style="91" customWidth="1"/>
    <col min="8195" max="8206" width="8.88671875" style="91"/>
    <col min="8207" max="8207" width="9.5546875" style="91" bestFit="1" customWidth="1"/>
    <col min="8208" max="8448" width="8.88671875" style="91"/>
    <col min="8449" max="8449" width="3.5546875" style="91" customWidth="1"/>
    <col min="8450" max="8450" width="42.6640625" style="91" customWidth="1"/>
    <col min="8451" max="8462" width="8.88671875" style="91"/>
    <col min="8463" max="8463" width="9.5546875" style="91" bestFit="1" customWidth="1"/>
    <col min="8464" max="8704" width="8.88671875" style="91"/>
    <col min="8705" max="8705" width="3.5546875" style="91" customWidth="1"/>
    <col min="8706" max="8706" width="42.6640625" style="91" customWidth="1"/>
    <col min="8707" max="8718" width="8.88671875" style="91"/>
    <col min="8719" max="8719" width="9.5546875" style="91" bestFit="1" customWidth="1"/>
    <col min="8720" max="8960" width="8.88671875" style="91"/>
    <col min="8961" max="8961" width="3.5546875" style="91" customWidth="1"/>
    <col min="8962" max="8962" width="42.6640625" style="91" customWidth="1"/>
    <col min="8963" max="8974" width="8.88671875" style="91"/>
    <col min="8975" max="8975" width="9.5546875" style="91" bestFit="1" customWidth="1"/>
    <col min="8976" max="9216" width="8.88671875" style="91"/>
    <col min="9217" max="9217" width="3.5546875" style="91" customWidth="1"/>
    <col min="9218" max="9218" width="42.6640625" style="91" customWidth="1"/>
    <col min="9219" max="9230" width="8.88671875" style="91"/>
    <col min="9231" max="9231" width="9.5546875" style="91" bestFit="1" customWidth="1"/>
    <col min="9232" max="9472" width="8.88671875" style="91"/>
    <col min="9473" max="9473" width="3.5546875" style="91" customWidth="1"/>
    <col min="9474" max="9474" width="42.6640625" style="91" customWidth="1"/>
    <col min="9475" max="9486" width="8.88671875" style="91"/>
    <col min="9487" max="9487" width="9.5546875" style="91" bestFit="1" customWidth="1"/>
    <col min="9488" max="9728" width="8.88671875" style="91"/>
    <col min="9729" max="9729" width="3.5546875" style="91" customWidth="1"/>
    <col min="9730" max="9730" width="42.6640625" style="91" customWidth="1"/>
    <col min="9731" max="9742" width="8.88671875" style="91"/>
    <col min="9743" max="9743" width="9.5546875" style="91" bestFit="1" customWidth="1"/>
    <col min="9744" max="9984" width="8.88671875" style="91"/>
    <col min="9985" max="9985" width="3.5546875" style="91" customWidth="1"/>
    <col min="9986" max="9986" width="42.6640625" style="91" customWidth="1"/>
    <col min="9987" max="9998" width="8.88671875" style="91"/>
    <col min="9999" max="9999" width="9.5546875" style="91" bestFit="1" customWidth="1"/>
    <col min="10000" max="10240" width="8.88671875" style="91"/>
    <col min="10241" max="10241" width="3.5546875" style="91" customWidth="1"/>
    <col min="10242" max="10242" width="42.6640625" style="91" customWidth="1"/>
    <col min="10243" max="10254" width="8.88671875" style="91"/>
    <col min="10255" max="10255" width="9.5546875" style="91" bestFit="1" customWidth="1"/>
    <col min="10256" max="10496" width="8.88671875" style="91"/>
    <col min="10497" max="10497" width="3.5546875" style="91" customWidth="1"/>
    <col min="10498" max="10498" width="42.6640625" style="91" customWidth="1"/>
    <col min="10499" max="10510" width="8.88671875" style="91"/>
    <col min="10511" max="10511" width="9.5546875" style="91" bestFit="1" customWidth="1"/>
    <col min="10512" max="10752" width="8.88671875" style="91"/>
    <col min="10753" max="10753" width="3.5546875" style="91" customWidth="1"/>
    <col min="10754" max="10754" width="42.6640625" style="91" customWidth="1"/>
    <col min="10755" max="10766" width="8.88671875" style="91"/>
    <col min="10767" max="10767" width="9.5546875" style="91" bestFit="1" customWidth="1"/>
    <col min="10768" max="11008" width="8.88671875" style="91"/>
    <col min="11009" max="11009" width="3.5546875" style="91" customWidth="1"/>
    <col min="11010" max="11010" width="42.6640625" style="91" customWidth="1"/>
    <col min="11011" max="11022" width="8.88671875" style="91"/>
    <col min="11023" max="11023" width="9.5546875" style="91" bestFit="1" customWidth="1"/>
    <col min="11024" max="11264" width="8.88671875" style="91"/>
    <col min="11265" max="11265" width="3.5546875" style="91" customWidth="1"/>
    <col min="11266" max="11266" width="42.6640625" style="91" customWidth="1"/>
    <col min="11267" max="11278" width="8.88671875" style="91"/>
    <col min="11279" max="11279" width="9.5546875" style="91" bestFit="1" customWidth="1"/>
    <col min="11280" max="11520" width="8.88671875" style="91"/>
    <col min="11521" max="11521" width="3.5546875" style="91" customWidth="1"/>
    <col min="11522" max="11522" width="42.6640625" style="91" customWidth="1"/>
    <col min="11523" max="11534" width="8.88671875" style="91"/>
    <col min="11535" max="11535" width="9.5546875" style="91" bestFit="1" customWidth="1"/>
    <col min="11536" max="11776" width="8.88671875" style="91"/>
    <col min="11777" max="11777" width="3.5546875" style="91" customWidth="1"/>
    <col min="11778" max="11778" width="42.6640625" style="91" customWidth="1"/>
    <col min="11779" max="11790" width="8.88671875" style="91"/>
    <col min="11791" max="11791" width="9.5546875" style="91" bestFit="1" customWidth="1"/>
    <col min="11792" max="12032" width="8.88671875" style="91"/>
    <col min="12033" max="12033" width="3.5546875" style="91" customWidth="1"/>
    <col min="12034" max="12034" width="42.6640625" style="91" customWidth="1"/>
    <col min="12035" max="12046" width="8.88671875" style="91"/>
    <col min="12047" max="12047" width="9.5546875" style="91" bestFit="1" customWidth="1"/>
    <col min="12048" max="12288" width="8.88671875" style="91"/>
    <col min="12289" max="12289" width="3.5546875" style="91" customWidth="1"/>
    <col min="12290" max="12290" width="42.6640625" style="91" customWidth="1"/>
    <col min="12291" max="12302" width="8.88671875" style="91"/>
    <col min="12303" max="12303" width="9.5546875" style="91" bestFit="1" customWidth="1"/>
    <col min="12304" max="12544" width="8.88671875" style="91"/>
    <col min="12545" max="12545" width="3.5546875" style="91" customWidth="1"/>
    <col min="12546" max="12546" width="42.6640625" style="91" customWidth="1"/>
    <col min="12547" max="12558" width="8.88671875" style="91"/>
    <col min="12559" max="12559" width="9.5546875" style="91" bestFit="1" customWidth="1"/>
    <col min="12560" max="12800" width="8.88671875" style="91"/>
    <col min="12801" max="12801" width="3.5546875" style="91" customWidth="1"/>
    <col min="12802" max="12802" width="42.6640625" style="91" customWidth="1"/>
    <col min="12803" max="12814" width="8.88671875" style="91"/>
    <col min="12815" max="12815" width="9.5546875" style="91" bestFit="1" customWidth="1"/>
    <col min="12816" max="13056" width="8.88671875" style="91"/>
    <col min="13057" max="13057" width="3.5546875" style="91" customWidth="1"/>
    <col min="13058" max="13058" width="42.6640625" style="91" customWidth="1"/>
    <col min="13059" max="13070" width="8.88671875" style="91"/>
    <col min="13071" max="13071" width="9.5546875" style="91" bestFit="1" customWidth="1"/>
    <col min="13072" max="13312" width="8.88671875" style="91"/>
    <col min="13313" max="13313" width="3.5546875" style="91" customWidth="1"/>
    <col min="13314" max="13314" width="42.6640625" style="91" customWidth="1"/>
    <col min="13315" max="13326" width="8.88671875" style="91"/>
    <col min="13327" max="13327" width="9.5546875" style="91" bestFit="1" customWidth="1"/>
    <col min="13328" max="13568" width="8.88671875" style="91"/>
    <col min="13569" max="13569" width="3.5546875" style="91" customWidth="1"/>
    <col min="13570" max="13570" width="42.6640625" style="91" customWidth="1"/>
    <col min="13571" max="13582" width="8.88671875" style="91"/>
    <col min="13583" max="13583" width="9.5546875" style="91" bestFit="1" customWidth="1"/>
    <col min="13584" max="13824" width="8.88671875" style="91"/>
    <col min="13825" max="13825" width="3.5546875" style="91" customWidth="1"/>
    <col min="13826" max="13826" width="42.6640625" style="91" customWidth="1"/>
    <col min="13827" max="13838" width="8.88671875" style="91"/>
    <col min="13839" max="13839" width="9.5546875" style="91" bestFit="1" customWidth="1"/>
    <col min="13840" max="14080" width="8.88671875" style="91"/>
    <col min="14081" max="14081" width="3.5546875" style="91" customWidth="1"/>
    <col min="14082" max="14082" width="42.6640625" style="91" customWidth="1"/>
    <col min="14083" max="14094" width="8.88671875" style="91"/>
    <col min="14095" max="14095" width="9.5546875" style="91" bestFit="1" customWidth="1"/>
    <col min="14096" max="14336" width="8.88671875" style="91"/>
    <col min="14337" max="14337" width="3.5546875" style="91" customWidth="1"/>
    <col min="14338" max="14338" width="42.6640625" style="91" customWidth="1"/>
    <col min="14339" max="14350" width="8.88671875" style="91"/>
    <col min="14351" max="14351" width="9.5546875" style="91" bestFit="1" customWidth="1"/>
    <col min="14352" max="14592" width="8.88671875" style="91"/>
    <col min="14593" max="14593" width="3.5546875" style="91" customWidth="1"/>
    <col min="14594" max="14594" width="42.6640625" style="91" customWidth="1"/>
    <col min="14595" max="14606" width="8.88671875" style="91"/>
    <col min="14607" max="14607" width="9.5546875" style="91" bestFit="1" customWidth="1"/>
    <col min="14608" max="14848" width="8.88671875" style="91"/>
    <col min="14849" max="14849" width="3.5546875" style="91" customWidth="1"/>
    <col min="14850" max="14850" width="42.6640625" style="91" customWidth="1"/>
    <col min="14851" max="14862" width="8.88671875" style="91"/>
    <col min="14863" max="14863" width="9.5546875" style="91" bestFit="1" customWidth="1"/>
    <col min="14864" max="15104" width="8.88671875" style="91"/>
    <col min="15105" max="15105" width="3.5546875" style="91" customWidth="1"/>
    <col min="15106" max="15106" width="42.6640625" style="91" customWidth="1"/>
    <col min="15107" max="15118" width="8.88671875" style="91"/>
    <col min="15119" max="15119" width="9.5546875" style="91" bestFit="1" customWidth="1"/>
    <col min="15120" max="15360" width="8.88671875" style="91"/>
    <col min="15361" max="15361" width="3.5546875" style="91" customWidth="1"/>
    <col min="15362" max="15362" width="42.6640625" style="91" customWidth="1"/>
    <col min="15363" max="15374" width="8.88671875" style="91"/>
    <col min="15375" max="15375" width="9.5546875" style="91" bestFit="1" customWidth="1"/>
    <col min="15376" max="15616" width="8.88671875" style="91"/>
    <col min="15617" max="15617" width="3.5546875" style="91" customWidth="1"/>
    <col min="15618" max="15618" width="42.6640625" style="91" customWidth="1"/>
    <col min="15619" max="15630" width="8.88671875" style="91"/>
    <col min="15631" max="15631" width="9.5546875" style="91" bestFit="1" customWidth="1"/>
    <col min="15632" max="15872" width="8.88671875" style="91"/>
    <col min="15873" max="15873" width="3.5546875" style="91" customWidth="1"/>
    <col min="15874" max="15874" width="42.6640625" style="91" customWidth="1"/>
    <col min="15875" max="15886" width="8.88671875" style="91"/>
    <col min="15887" max="15887" width="9.5546875" style="91" bestFit="1" customWidth="1"/>
    <col min="15888" max="16128" width="8.88671875" style="91"/>
    <col min="16129" max="16129" width="3.5546875" style="91" customWidth="1"/>
    <col min="16130" max="16130" width="42.6640625" style="91" customWidth="1"/>
    <col min="16131" max="16142" width="8.88671875" style="91"/>
    <col min="16143" max="16143" width="9.5546875" style="91" bestFit="1" customWidth="1"/>
    <col min="16144" max="16384" width="8.88671875" style="91"/>
  </cols>
  <sheetData>
    <row r="1" spans="1:17" ht="21" x14ac:dyDescent="0.4">
      <c r="A1" s="258" t="s">
        <v>328</v>
      </c>
      <c r="C1" s="258"/>
    </row>
    <row r="2" spans="1:17" ht="15" thickBot="1" x14ac:dyDescent="0.35">
      <c r="A2" s="259" t="s">
        <v>419</v>
      </c>
      <c r="B2" s="259"/>
      <c r="C2" s="259"/>
      <c r="D2" s="259"/>
      <c r="E2" s="259"/>
      <c r="F2" s="259"/>
      <c r="G2" s="259"/>
      <c r="H2" s="259"/>
      <c r="I2" s="259"/>
      <c r="J2" s="259"/>
      <c r="K2" s="259"/>
      <c r="L2" s="259"/>
      <c r="M2" s="259"/>
      <c r="N2" s="259"/>
      <c r="O2" s="259" t="s">
        <v>329</v>
      </c>
    </row>
    <row r="3" spans="1:17" x14ac:dyDescent="0.3">
      <c r="C3" s="25" t="s">
        <v>149</v>
      </c>
      <c r="D3" s="25" t="s">
        <v>149</v>
      </c>
      <c r="E3" s="25" t="s">
        <v>149</v>
      </c>
      <c r="F3" s="25" t="s">
        <v>149</v>
      </c>
      <c r="G3" s="25" t="s">
        <v>149</v>
      </c>
      <c r="H3" s="25" t="s">
        <v>149</v>
      </c>
      <c r="I3" s="25" t="s">
        <v>149</v>
      </c>
      <c r="J3" s="25" t="s">
        <v>149</v>
      </c>
      <c r="K3" s="25" t="s">
        <v>330</v>
      </c>
      <c r="L3" s="25" t="s">
        <v>149</v>
      </c>
      <c r="N3" s="25" t="s">
        <v>149</v>
      </c>
    </row>
    <row r="4" spans="1:17" x14ac:dyDescent="0.3">
      <c r="C4" s="25" t="s">
        <v>149</v>
      </c>
      <c r="D4" s="25" t="s">
        <v>149</v>
      </c>
      <c r="E4" s="25" t="s">
        <v>149</v>
      </c>
      <c r="F4" s="25" t="s">
        <v>149</v>
      </c>
      <c r="G4" s="25" t="s">
        <v>149</v>
      </c>
      <c r="I4" s="25" t="s">
        <v>149</v>
      </c>
      <c r="K4" s="25" t="s">
        <v>331</v>
      </c>
      <c r="N4" s="25" t="s">
        <v>149</v>
      </c>
    </row>
    <row r="5" spans="1:17" x14ac:dyDescent="0.3">
      <c r="K5" s="25" t="s">
        <v>332</v>
      </c>
      <c r="M5" s="25" t="s">
        <v>333</v>
      </c>
    </row>
    <row r="6" spans="1:17" x14ac:dyDescent="0.3">
      <c r="K6" s="25" t="s">
        <v>334</v>
      </c>
      <c r="L6" s="25" t="s">
        <v>335</v>
      </c>
      <c r="M6" s="25" t="s">
        <v>336</v>
      </c>
    </row>
    <row r="7" spans="1:17" x14ac:dyDescent="0.3">
      <c r="C7" s="25" t="s">
        <v>337</v>
      </c>
      <c r="D7" s="25" t="s">
        <v>338</v>
      </c>
      <c r="E7" s="25" t="s">
        <v>339</v>
      </c>
      <c r="F7" s="25" t="s">
        <v>149</v>
      </c>
      <c r="G7" s="25" t="s">
        <v>149</v>
      </c>
      <c r="H7" s="25" t="s">
        <v>340</v>
      </c>
      <c r="I7" s="25" t="s">
        <v>149</v>
      </c>
      <c r="J7" s="25" t="s">
        <v>341</v>
      </c>
      <c r="K7" s="25" t="s">
        <v>342</v>
      </c>
      <c r="L7" s="25" t="s">
        <v>343</v>
      </c>
      <c r="M7" s="25" t="s">
        <v>344</v>
      </c>
      <c r="N7" s="25" t="s">
        <v>149</v>
      </c>
    </row>
    <row r="8" spans="1:17" x14ac:dyDescent="0.3">
      <c r="C8" s="25" t="s">
        <v>345</v>
      </c>
      <c r="D8" s="25" t="s">
        <v>346</v>
      </c>
      <c r="E8" s="25" t="s">
        <v>347</v>
      </c>
      <c r="G8" s="25" t="s">
        <v>348</v>
      </c>
      <c r="H8" s="25" t="s">
        <v>349</v>
      </c>
      <c r="I8" s="25" t="s">
        <v>350</v>
      </c>
      <c r="J8" s="25" t="s">
        <v>351</v>
      </c>
      <c r="K8" s="25" t="s">
        <v>352</v>
      </c>
      <c r="L8" s="25" t="s">
        <v>353</v>
      </c>
      <c r="M8" s="25" t="s">
        <v>354</v>
      </c>
      <c r="N8" s="25" t="s">
        <v>355</v>
      </c>
      <c r="O8" s="25" t="s">
        <v>356</v>
      </c>
    </row>
    <row r="9" spans="1:17" x14ac:dyDescent="0.3">
      <c r="A9" s="260"/>
      <c r="B9" s="260"/>
      <c r="C9" s="260" t="s">
        <v>357</v>
      </c>
      <c r="D9" s="260" t="s">
        <v>358</v>
      </c>
      <c r="E9" s="260" t="s">
        <v>359</v>
      </c>
      <c r="F9" s="260" t="s">
        <v>138</v>
      </c>
      <c r="G9" s="260" t="s">
        <v>360</v>
      </c>
      <c r="H9" s="260" t="s">
        <v>361</v>
      </c>
      <c r="I9" s="260" t="s">
        <v>362</v>
      </c>
      <c r="J9" s="260" t="s">
        <v>363</v>
      </c>
      <c r="K9" s="260" t="s">
        <v>364</v>
      </c>
      <c r="L9" s="260" t="s">
        <v>365</v>
      </c>
      <c r="M9" s="260" t="s">
        <v>366</v>
      </c>
      <c r="N9" s="260" t="s">
        <v>367</v>
      </c>
      <c r="O9" s="260" t="s">
        <v>365</v>
      </c>
    </row>
    <row r="10" spans="1:17" x14ac:dyDescent="0.3">
      <c r="A10" s="261" t="s">
        <v>96</v>
      </c>
    </row>
    <row r="11" spans="1:17" x14ac:dyDescent="0.3">
      <c r="A11" s="261"/>
      <c r="B11" s="262" t="s">
        <v>368</v>
      </c>
      <c r="C11" s="263" t="s">
        <v>369</v>
      </c>
      <c r="D11" s="263" t="s">
        <v>369</v>
      </c>
      <c r="E11" s="264">
        <v>5572</v>
      </c>
      <c r="F11" s="264">
        <v>14762</v>
      </c>
      <c r="G11" s="264">
        <v>822</v>
      </c>
      <c r="H11" s="264">
        <v>1701</v>
      </c>
      <c r="I11" s="264">
        <v>27021</v>
      </c>
      <c r="J11" s="264">
        <v>4915</v>
      </c>
      <c r="K11" s="264">
        <v>8395</v>
      </c>
      <c r="L11" s="264">
        <v>23673</v>
      </c>
      <c r="M11" s="264">
        <v>1048</v>
      </c>
      <c r="N11" s="264">
        <v>540</v>
      </c>
      <c r="O11" s="264">
        <v>90367</v>
      </c>
      <c r="Q11" s="265">
        <f>SUM(E11:N11)</f>
        <v>88449</v>
      </c>
    </row>
    <row r="12" spans="1:17" x14ac:dyDescent="0.3">
      <c r="A12" s="261"/>
      <c r="B12" s="266" t="s">
        <v>370</v>
      </c>
      <c r="C12" s="263" t="s">
        <v>369</v>
      </c>
      <c r="D12" s="263" t="s">
        <v>369</v>
      </c>
      <c r="E12" s="264">
        <v>657</v>
      </c>
      <c r="F12" s="264">
        <v>369</v>
      </c>
      <c r="G12" s="264" t="s">
        <v>369</v>
      </c>
      <c r="H12" s="264">
        <v>54</v>
      </c>
      <c r="I12" s="264">
        <v>783</v>
      </c>
      <c r="J12" s="264">
        <v>107</v>
      </c>
      <c r="K12" s="264">
        <v>346</v>
      </c>
      <c r="L12" s="264">
        <v>1570</v>
      </c>
      <c r="M12" s="264">
        <v>19</v>
      </c>
      <c r="N12" s="264">
        <v>31</v>
      </c>
      <c r="O12" s="264">
        <v>4023</v>
      </c>
    </row>
    <row r="13" spans="1:17" x14ac:dyDescent="0.3">
      <c r="A13" s="261"/>
      <c r="B13" s="266" t="s">
        <v>371</v>
      </c>
      <c r="C13" s="263" t="s">
        <v>369</v>
      </c>
      <c r="D13" s="263" t="s">
        <v>369</v>
      </c>
      <c r="E13" s="264">
        <v>22</v>
      </c>
      <c r="F13" s="264">
        <v>63</v>
      </c>
      <c r="G13" s="264" t="s">
        <v>369</v>
      </c>
      <c r="H13" s="264">
        <v>37</v>
      </c>
      <c r="I13" s="264">
        <v>1272</v>
      </c>
      <c r="J13" s="264">
        <v>169</v>
      </c>
      <c r="K13" s="264">
        <v>181</v>
      </c>
      <c r="L13" s="264">
        <v>589</v>
      </c>
      <c r="M13" s="264">
        <v>16</v>
      </c>
      <c r="N13" s="264">
        <v>0</v>
      </c>
      <c r="O13" s="264">
        <v>2378</v>
      </c>
    </row>
    <row r="14" spans="1:17" x14ac:dyDescent="0.3">
      <c r="A14" s="261"/>
      <c r="B14" s="266" t="s">
        <v>372</v>
      </c>
      <c r="C14" s="263" t="s">
        <v>369</v>
      </c>
      <c r="D14" s="263" t="s">
        <v>369</v>
      </c>
      <c r="E14" s="264">
        <v>180</v>
      </c>
      <c r="F14" s="264">
        <v>462</v>
      </c>
      <c r="G14" s="264">
        <v>49</v>
      </c>
      <c r="H14" s="264">
        <v>27</v>
      </c>
      <c r="I14" s="264">
        <v>724</v>
      </c>
      <c r="J14" s="264">
        <v>327</v>
      </c>
      <c r="K14" s="264">
        <v>208</v>
      </c>
      <c r="L14" s="264">
        <v>1196</v>
      </c>
      <c r="M14" s="264">
        <v>20</v>
      </c>
      <c r="N14" s="264">
        <v>5</v>
      </c>
      <c r="O14" s="264">
        <v>3239</v>
      </c>
    </row>
    <row r="15" spans="1:17" x14ac:dyDescent="0.3">
      <c r="A15" s="261"/>
      <c r="B15" s="266" t="s">
        <v>91</v>
      </c>
      <c r="C15" s="263" t="s">
        <v>369</v>
      </c>
      <c r="D15" s="263" t="s">
        <v>369</v>
      </c>
      <c r="E15" s="264">
        <v>872</v>
      </c>
      <c r="F15" s="264">
        <v>1633</v>
      </c>
      <c r="G15" s="264">
        <v>82</v>
      </c>
      <c r="H15" s="264">
        <v>194</v>
      </c>
      <c r="I15" s="264">
        <v>6255</v>
      </c>
      <c r="J15" s="264">
        <v>492</v>
      </c>
      <c r="K15" s="264">
        <v>1534</v>
      </c>
      <c r="L15" s="264">
        <v>2381</v>
      </c>
      <c r="M15" s="264">
        <v>170</v>
      </c>
      <c r="N15" s="264">
        <v>51</v>
      </c>
      <c r="O15" s="264">
        <v>13845</v>
      </c>
    </row>
    <row r="16" spans="1:17" x14ac:dyDescent="0.3">
      <c r="A16" s="261"/>
      <c r="B16" s="266" t="s">
        <v>90</v>
      </c>
      <c r="C16" s="263" t="s">
        <v>369</v>
      </c>
      <c r="D16" s="263" t="s">
        <v>369</v>
      </c>
      <c r="E16" s="264">
        <v>803</v>
      </c>
      <c r="F16" s="264">
        <v>1787</v>
      </c>
      <c r="G16" s="264">
        <v>54</v>
      </c>
      <c r="H16" s="264">
        <v>202</v>
      </c>
      <c r="I16" s="264">
        <v>5350</v>
      </c>
      <c r="J16" s="264">
        <v>1280</v>
      </c>
      <c r="K16" s="264">
        <v>1850</v>
      </c>
      <c r="L16" s="264">
        <v>3905</v>
      </c>
      <c r="M16" s="264">
        <v>215</v>
      </c>
      <c r="N16" s="264">
        <v>81</v>
      </c>
      <c r="O16" s="264">
        <v>16055</v>
      </c>
    </row>
    <row r="17" spans="1:15" x14ac:dyDescent="0.3">
      <c r="A17" s="261"/>
      <c r="B17" s="266" t="s">
        <v>373</v>
      </c>
      <c r="C17" s="263" t="s">
        <v>369</v>
      </c>
      <c r="D17" s="263" t="s">
        <v>369</v>
      </c>
      <c r="E17" s="264">
        <v>748</v>
      </c>
      <c r="F17" s="264">
        <v>1260</v>
      </c>
      <c r="G17" s="264">
        <v>159</v>
      </c>
      <c r="H17" s="264">
        <v>241</v>
      </c>
      <c r="I17" s="264">
        <v>1334</v>
      </c>
      <c r="J17" s="264">
        <v>552</v>
      </c>
      <c r="K17" s="264">
        <v>688</v>
      </c>
      <c r="L17" s="264">
        <v>4164</v>
      </c>
      <c r="M17" s="264">
        <v>134</v>
      </c>
      <c r="N17" s="264">
        <v>17</v>
      </c>
      <c r="O17" s="264">
        <v>9440</v>
      </c>
    </row>
    <row r="18" spans="1:15" x14ac:dyDescent="0.3">
      <c r="A18" s="261"/>
      <c r="B18" s="266" t="s">
        <v>374</v>
      </c>
      <c r="C18" s="263" t="s">
        <v>369</v>
      </c>
      <c r="D18" s="263" t="s">
        <v>369</v>
      </c>
      <c r="E18" s="264">
        <v>444</v>
      </c>
      <c r="F18" s="264">
        <v>3053</v>
      </c>
      <c r="G18" s="264">
        <v>99</v>
      </c>
      <c r="H18" s="264">
        <v>77</v>
      </c>
      <c r="I18" s="264">
        <v>1750</v>
      </c>
      <c r="J18" s="264">
        <v>172</v>
      </c>
      <c r="K18" s="264">
        <v>481</v>
      </c>
      <c r="L18" s="264">
        <v>922</v>
      </c>
      <c r="M18" s="264">
        <v>145</v>
      </c>
      <c r="N18" s="264">
        <v>35</v>
      </c>
      <c r="O18" s="264">
        <v>7235</v>
      </c>
    </row>
    <row r="19" spans="1:15" x14ac:dyDescent="0.3">
      <c r="A19" s="261"/>
      <c r="B19" s="266" t="s">
        <v>375</v>
      </c>
      <c r="C19" s="263" t="s">
        <v>369</v>
      </c>
      <c r="D19" s="263" t="s">
        <v>369</v>
      </c>
      <c r="E19" s="264">
        <v>667</v>
      </c>
      <c r="F19" s="264">
        <v>1108</v>
      </c>
      <c r="G19" s="264">
        <v>194</v>
      </c>
      <c r="H19" s="264">
        <v>167</v>
      </c>
      <c r="I19" s="264">
        <v>4269</v>
      </c>
      <c r="J19" s="264">
        <v>515</v>
      </c>
      <c r="K19" s="264">
        <v>1006</v>
      </c>
      <c r="L19" s="264">
        <v>3703</v>
      </c>
      <c r="M19" s="264">
        <v>90</v>
      </c>
      <c r="N19" s="264">
        <v>22</v>
      </c>
      <c r="O19" s="264">
        <v>12371</v>
      </c>
    </row>
    <row r="20" spans="1:15" x14ac:dyDescent="0.3">
      <c r="A20" s="261"/>
      <c r="B20" s="266" t="s">
        <v>93</v>
      </c>
      <c r="C20" s="263" t="s">
        <v>369</v>
      </c>
      <c r="D20" s="263" t="s">
        <v>369</v>
      </c>
      <c r="E20" s="264">
        <v>410</v>
      </c>
      <c r="F20" s="264">
        <v>1169</v>
      </c>
      <c r="G20" s="264">
        <v>51</v>
      </c>
      <c r="H20" s="264">
        <v>80</v>
      </c>
      <c r="I20" s="264">
        <v>1711</v>
      </c>
      <c r="J20" s="264">
        <v>165</v>
      </c>
      <c r="K20" s="264">
        <v>565</v>
      </c>
      <c r="L20" s="264">
        <v>619</v>
      </c>
      <c r="M20" s="264">
        <v>72</v>
      </c>
      <c r="N20" s="264">
        <v>34</v>
      </c>
      <c r="O20" s="264">
        <v>4930</v>
      </c>
    </row>
    <row r="21" spans="1:15" x14ac:dyDescent="0.3">
      <c r="A21" s="261"/>
      <c r="B21" s="266" t="s">
        <v>376</v>
      </c>
      <c r="C21" s="263" t="s">
        <v>369</v>
      </c>
      <c r="D21" s="263" t="s">
        <v>369</v>
      </c>
      <c r="E21" s="264">
        <v>240</v>
      </c>
      <c r="F21" s="264">
        <v>924</v>
      </c>
      <c r="G21" s="264">
        <v>5</v>
      </c>
      <c r="H21" s="264">
        <v>51</v>
      </c>
      <c r="I21" s="264">
        <v>1110</v>
      </c>
      <c r="J21" s="264">
        <v>435</v>
      </c>
      <c r="K21" s="264">
        <v>405</v>
      </c>
      <c r="L21" s="264">
        <v>2940</v>
      </c>
      <c r="M21" s="264">
        <v>40</v>
      </c>
      <c r="N21" s="264">
        <v>19</v>
      </c>
      <c r="O21" s="264">
        <v>6231</v>
      </c>
    </row>
    <row r="22" spans="1:15" x14ac:dyDescent="0.3">
      <c r="A22" s="261"/>
      <c r="B22" s="266" t="s">
        <v>377</v>
      </c>
      <c r="C22" s="263" t="s">
        <v>369</v>
      </c>
      <c r="D22" s="263" t="s">
        <v>369</v>
      </c>
      <c r="E22" s="264">
        <v>74</v>
      </c>
      <c r="F22" s="264">
        <v>524</v>
      </c>
      <c r="G22" s="264">
        <v>27</v>
      </c>
      <c r="H22" s="264">
        <v>48</v>
      </c>
      <c r="I22" s="264">
        <v>217</v>
      </c>
      <c r="J22" s="264">
        <v>158</v>
      </c>
      <c r="K22" s="264">
        <v>168</v>
      </c>
      <c r="L22" s="264">
        <v>299</v>
      </c>
      <c r="M22" s="264">
        <v>28</v>
      </c>
      <c r="N22" s="264">
        <v>46</v>
      </c>
      <c r="O22" s="264">
        <v>1602</v>
      </c>
    </row>
    <row r="23" spans="1:15" x14ac:dyDescent="0.3">
      <c r="A23" s="261"/>
      <c r="B23" s="266" t="s">
        <v>378</v>
      </c>
      <c r="C23" s="263" t="s">
        <v>369</v>
      </c>
      <c r="D23" s="263" t="s">
        <v>369</v>
      </c>
      <c r="E23" s="264">
        <v>66</v>
      </c>
      <c r="F23" s="264">
        <v>153</v>
      </c>
      <c r="G23" s="264">
        <v>4</v>
      </c>
      <c r="H23" s="264">
        <v>8</v>
      </c>
      <c r="I23" s="264">
        <v>542</v>
      </c>
      <c r="J23" s="264">
        <v>44</v>
      </c>
      <c r="K23" s="264">
        <v>159</v>
      </c>
      <c r="L23" s="264">
        <v>349</v>
      </c>
      <c r="M23" s="264">
        <v>11</v>
      </c>
      <c r="N23" s="264">
        <v>4</v>
      </c>
      <c r="O23" s="264">
        <v>1386</v>
      </c>
    </row>
    <row r="24" spans="1:15" x14ac:dyDescent="0.3">
      <c r="A24" s="261"/>
      <c r="B24" s="266" t="s">
        <v>379</v>
      </c>
      <c r="C24" s="263" t="s">
        <v>369</v>
      </c>
      <c r="D24" s="263" t="s">
        <v>369</v>
      </c>
      <c r="E24" s="264">
        <v>69</v>
      </c>
      <c r="F24" s="264">
        <v>247</v>
      </c>
      <c r="G24" s="264">
        <v>18</v>
      </c>
      <c r="H24" s="264">
        <v>4</v>
      </c>
      <c r="I24" s="264">
        <v>187</v>
      </c>
      <c r="J24" s="264">
        <v>27</v>
      </c>
      <c r="K24" s="264">
        <v>126</v>
      </c>
      <c r="L24" s="264">
        <v>81</v>
      </c>
      <c r="M24" s="264">
        <v>11</v>
      </c>
      <c r="N24" s="264">
        <v>30</v>
      </c>
      <c r="O24" s="264">
        <v>822</v>
      </c>
    </row>
    <row r="25" spans="1:15" x14ac:dyDescent="0.3">
      <c r="A25" s="261"/>
      <c r="B25" s="266" t="s">
        <v>380</v>
      </c>
      <c r="C25" s="263" t="s">
        <v>369</v>
      </c>
      <c r="D25" s="263" t="s">
        <v>369</v>
      </c>
      <c r="E25" s="264">
        <v>76</v>
      </c>
      <c r="F25" s="264">
        <v>153</v>
      </c>
      <c r="G25" s="264">
        <v>0</v>
      </c>
      <c r="H25" s="264">
        <v>28</v>
      </c>
      <c r="I25" s="264">
        <v>324</v>
      </c>
      <c r="J25" s="264">
        <v>63</v>
      </c>
      <c r="K25" s="264">
        <v>118</v>
      </c>
      <c r="L25" s="264">
        <v>78</v>
      </c>
      <c r="M25" s="264">
        <v>8</v>
      </c>
      <c r="N25" s="264">
        <v>23</v>
      </c>
      <c r="O25" s="264">
        <v>875</v>
      </c>
    </row>
    <row r="26" spans="1:15" x14ac:dyDescent="0.3">
      <c r="A26" s="261"/>
      <c r="B26" s="266" t="s">
        <v>381</v>
      </c>
      <c r="C26" s="263" t="s">
        <v>369</v>
      </c>
      <c r="D26" s="263" t="s">
        <v>369</v>
      </c>
      <c r="E26" s="264">
        <v>46</v>
      </c>
      <c r="F26" s="264">
        <v>213</v>
      </c>
      <c r="G26" s="264">
        <v>7</v>
      </c>
      <c r="H26" s="264">
        <v>4</v>
      </c>
      <c r="I26" s="264">
        <v>511</v>
      </c>
      <c r="J26" s="264">
        <v>44</v>
      </c>
      <c r="K26" s="264">
        <v>95</v>
      </c>
      <c r="L26" s="264">
        <v>224</v>
      </c>
      <c r="M26" s="264">
        <v>16</v>
      </c>
      <c r="N26" s="264">
        <v>8</v>
      </c>
      <c r="O26" s="264">
        <v>1178</v>
      </c>
    </row>
    <row r="27" spans="1:15" x14ac:dyDescent="0.3">
      <c r="A27" s="261"/>
      <c r="B27" s="266" t="s">
        <v>382</v>
      </c>
      <c r="C27" s="263" t="s">
        <v>369</v>
      </c>
      <c r="D27" s="263" t="s">
        <v>369</v>
      </c>
      <c r="E27" s="264">
        <v>50</v>
      </c>
      <c r="F27" s="264">
        <v>247</v>
      </c>
      <c r="G27" s="264">
        <v>4</v>
      </c>
      <c r="H27" s="264">
        <v>18</v>
      </c>
      <c r="I27" s="264">
        <v>178</v>
      </c>
      <c r="J27" s="264">
        <v>56</v>
      </c>
      <c r="K27" s="264">
        <v>93</v>
      </c>
      <c r="L27" s="264">
        <v>198</v>
      </c>
      <c r="M27" s="264">
        <v>9</v>
      </c>
      <c r="N27" s="264">
        <v>19</v>
      </c>
      <c r="O27" s="264">
        <v>880</v>
      </c>
    </row>
    <row r="28" spans="1:15" x14ac:dyDescent="0.3">
      <c r="A28" s="261"/>
      <c r="B28" s="266" t="s">
        <v>383</v>
      </c>
      <c r="C28" s="263" t="s">
        <v>369</v>
      </c>
      <c r="D28" s="263" t="s">
        <v>369</v>
      </c>
      <c r="E28" s="264">
        <v>0</v>
      </c>
      <c r="F28" s="264">
        <v>27</v>
      </c>
      <c r="G28" s="264">
        <v>0</v>
      </c>
      <c r="H28" s="264">
        <v>0</v>
      </c>
      <c r="I28" s="264">
        <v>0</v>
      </c>
      <c r="J28" s="264">
        <v>6</v>
      </c>
      <c r="K28" s="264">
        <v>19</v>
      </c>
      <c r="L28" s="264" t="s">
        <v>369</v>
      </c>
      <c r="M28" s="264">
        <v>0</v>
      </c>
      <c r="N28" s="264">
        <v>0</v>
      </c>
      <c r="O28" s="264">
        <v>56</v>
      </c>
    </row>
    <row r="29" spans="1:15" x14ac:dyDescent="0.3">
      <c r="A29" s="261"/>
      <c r="B29" s="266" t="s">
        <v>384</v>
      </c>
      <c r="C29" s="263" t="s">
        <v>369</v>
      </c>
      <c r="D29" s="263" t="s">
        <v>369</v>
      </c>
      <c r="E29" s="264">
        <v>35</v>
      </c>
      <c r="F29" s="264">
        <v>122</v>
      </c>
      <c r="G29" s="264">
        <v>0</v>
      </c>
      <c r="H29" s="264">
        <v>4</v>
      </c>
      <c r="I29" s="264">
        <v>145</v>
      </c>
      <c r="J29" s="264">
        <v>73</v>
      </c>
      <c r="K29" s="264">
        <v>68</v>
      </c>
      <c r="L29" s="264">
        <v>90</v>
      </c>
      <c r="M29" s="264">
        <v>7</v>
      </c>
      <c r="N29" s="264">
        <v>21</v>
      </c>
      <c r="O29" s="264">
        <v>569</v>
      </c>
    </row>
    <row r="30" spans="1:15" x14ac:dyDescent="0.3">
      <c r="A30" s="261"/>
      <c r="B30" s="266" t="s">
        <v>385</v>
      </c>
      <c r="C30" s="263" t="s">
        <v>369</v>
      </c>
      <c r="D30" s="263" t="s">
        <v>369</v>
      </c>
      <c r="E30" s="264">
        <v>0</v>
      </c>
      <c r="F30" s="264">
        <v>92</v>
      </c>
      <c r="G30" s="264">
        <v>0</v>
      </c>
      <c r="H30" s="264" t="s">
        <v>369</v>
      </c>
      <c r="I30" s="264">
        <v>0</v>
      </c>
      <c r="J30" s="264">
        <v>0</v>
      </c>
      <c r="K30" s="264">
        <v>20</v>
      </c>
      <c r="L30" s="264" t="s">
        <v>369</v>
      </c>
      <c r="M30" s="264">
        <v>0</v>
      </c>
      <c r="N30" s="264">
        <v>0</v>
      </c>
      <c r="O30" s="264">
        <v>116</v>
      </c>
    </row>
    <row r="31" spans="1:15" x14ac:dyDescent="0.3">
      <c r="A31" s="261"/>
      <c r="B31" s="266" t="s">
        <v>386</v>
      </c>
      <c r="C31" s="263" t="s">
        <v>369</v>
      </c>
      <c r="D31" s="263" t="s">
        <v>369</v>
      </c>
      <c r="E31" s="264">
        <v>12</v>
      </c>
      <c r="F31" s="264">
        <v>92</v>
      </c>
      <c r="G31" s="264">
        <v>0</v>
      </c>
      <c r="H31" s="264" t="s">
        <v>369</v>
      </c>
      <c r="I31" s="264">
        <v>31</v>
      </c>
      <c r="J31" s="264">
        <v>27</v>
      </c>
      <c r="K31" s="264">
        <v>27</v>
      </c>
      <c r="L31" s="264">
        <v>64</v>
      </c>
      <c r="M31" s="264" t="s">
        <v>369</v>
      </c>
      <c r="N31" s="264">
        <v>13</v>
      </c>
      <c r="O31" s="264">
        <v>282</v>
      </c>
    </row>
    <row r="32" spans="1:15" x14ac:dyDescent="0.3">
      <c r="A32" s="261"/>
      <c r="B32" s="266" t="s">
        <v>387</v>
      </c>
      <c r="C32" s="263" t="s">
        <v>369</v>
      </c>
      <c r="D32" s="263" t="s">
        <v>369</v>
      </c>
      <c r="E32" s="264">
        <v>4</v>
      </c>
      <c r="F32" s="264">
        <v>27</v>
      </c>
      <c r="G32" s="264">
        <v>0</v>
      </c>
      <c r="H32" s="264">
        <v>4</v>
      </c>
      <c r="I32" s="264">
        <v>82</v>
      </c>
      <c r="J32" s="264">
        <v>11</v>
      </c>
      <c r="K32" s="264">
        <v>27</v>
      </c>
      <c r="L32" s="264">
        <v>4</v>
      </c>
      <c r="M32" s="264">
        <v>2</v>
      </c>
      <c r="N32" s="264">
        <v>13</v>
      </c>
      <c r="O32" s="264">
        <v>178</v>
      </c>
    </row>
    <row r="33" spans="1:16" x14ac:dyDescent="0.3">
      <c r="A33" s="261"/>
      <c r="B33" s="266" t="s">
        <v>388</v>
      </c>
      <c r="C33" s="263" t="s">
        <v>369</v>
      </c>
      <c r="D33" s="263" t="s">
        <v>369</v>
      </c>
      <c r="E33" s="264">
        <v>109</v>
      </c>
      <c r="F33" s="264">
        <v>182</v>
      </c>
      <c r="G33" s="264">
        <v>17</v>
      </c>
      <c r="H33" s="264">
        <v>32</v>
      </c>
      <c r="I33" s="264">
        <v>1259</v>
      </c>
      <c r="J33" s="264">
        <v>58</v>
      </c>
      <c r="K33" s="264">
        <v>233</v>
      </c>
      <c r="L33" s="264">
        <v>343</v>
      </c>
      <c r="M33" s="264">
        <v>36</v>
      </c>
      <c r="N33" s="264">
        <v>136</v>
      </c>
      <c r="O33" s="264">
        <v>2433</v>
      </c>
    </row>
    <row r="34" spans="1:16" x14ac:dyDescent="0.3">
      <c r="A34" s="261"/>
      <c r="B34" s="266" t="s">
        <v>389</v>
      </c>
      <c r="C34" s="263" t="s">
        <v>369</v>
      </c>
      <c r="D34" s="263" t="s">
        <v>369</v>
      </c>
      <c r="E34" s="264">
        <v>421</v>
      </c>
      <c r="F34" s="264">
        <v>922</v>
      </c>
      <c r="G34" s="264">
        <v>13</v>
      </c>
      <c r="H34" s="264">
        <v>109</v>
      </c>
      <c r="I34" s="264">
        <v>1815</v>
      </c>
      <c r="J34" s="264">
        <v>589</v>
      </c>
      <c r="K34" s="264">
        <v>957</v>
      </c>
      <c r="L34" s="264">
        <v>7004</v>
      </c>
      <c r="M34" s="264">
        <v>128</v>
      </c>
      <c r="N34" s="264">
        <v>21</v>
      </c>
      <c r="O34" s="264">
        <v>12386</v>
      </c>
    </row>
    <row r="35" spans="1:16" x14ac:dyDescent="0.3">
      <c r="A35" s="261"/>
      <c r="B35" s="266" t="s">
        <v>390</v>
      </c>
      <c r="C35" s="263" t="s">
        <v>369</v>
      </c>
      <c r="D35" s="263" t="s">
        <v>369</v>
      </c>
      <c r="E35" s="264">
        <v>87</v>
      </c>
      <c r="F35" s="264">
        <v>342</v>
      </c>
      <c r="G35" s="264">
        <v>0</v>
      </c>
      <c r="H35" s="264">
        <v>27</v>
      </c>
      <c r="I35" s="264">
        <v>258</v>
      </c>
      <c r="J35" s="264">
        <v>51</v>
      </c>
      <c r="K35" s="264">
        <v>107</v>
      </c>
      <c r="L35" s="264">
        <v>266</v>
      </c>
      <c r="M35" s="264">
        <v>28</v>
      </c>
      <c r="N35" s="264">
        <v>76</v>
      </c>
      <c r="O35" s="264">
        <v>1252</v>
      </c>
    </row>
    <row r="36" spans="1:16" x14ac:dyDescent="0.3">
      <c r="A36" s="261"/>
      <c r="B36" s="266" t="s">
        <v>391</v>
      </c>
      <c r="C36" s="263" t="s">
        <v>369</v>
      </c>
      <c r="D36" s="263" t="s">
        <v>369</v>
      </c>
      <c r="E36" s="264">
        <v>28</v>
      </c>
      <c r="F36" s="264">
        <v>91</v>
      </c>
      <c r="G36" s="264">
        <v>0</v>
      </c>
      <c r="H36" s="264">
        <v>19</v>
      </c>
      <c r="I36" s="264">
        <v>2</v>
      </c>
      <c r="J36" s="264">
        <v>17</v>
      </c>
      <c r="K36" s="264">
        <v>59</v>
      </c>
      <c r="L36" s="264">
        <v>40</v>
      </c>
      <c r="M36" s="264">
        <v>12</v>
      </c>
      <c r="N36" s="264">
        <v>22</v>
      </c>
      <c r="O36" s="264">
        <v>294</v>
      </c>
    </row>
    <row r="37" spans="1:16" x14ac:dyDescent="0.3">
      <c r="A37" s="261"/>
      <c r="B37" s="266" t="s">
        <v>392</v>
      </c>
      <c r="C37" s="263" t="s">
        <v>369</v>
      </c>
      <c r="D37" s="263" t="s">
        <v>369</v>
      </c>
      <c r="E37" s="264">
        <v>92</v>
      </c>
      <c r="F37" s="264">
        <v>246</v>
      </c>
      <c r="G37" s="264">
        <v>12</v>
      </c>
      <c r="H37" s="264">
        <v>22</v>
      </c>
      <c r="I37" s="264">
        <v>112</v>
      </c>
      <c r="J37" s="264">
        <v>27</v>
      </c>
      <c r="K37" s="264">
        <v>98</v>
      </c>
      <c r="L37" s="264">
        <v>295</v>
      </c>
      <c r="M37" s="264">
        <v>23</v>
      </c>
      <c r="N37" s="264">
        <v>76</v>
      </c>
      <c r="O37" s="264">
        <v>1029</v>
      </c>
    </row>
    <row r="38" spans="1:16" x14ac:dyDescent="0.3">
      <c r="A38" s="261"/>
      <c r="B38" s="266" t="s">
        <v>393</v>
      </c>
      <c r="C38" s="263" t="s">
        <v>369</v>
      </c>
      <c r="D38" s="263" t="s">
        <v>369</v>
      </c>
      <c r="E38" s="264">
        <v>499</v>
      </c>
      <c r="F38" s="264">
        <v>832</v>
      </c>
      <c r="G38" s="264">
        <v>126</v>
      </c>
      <c r="H38" s="264">
        <v>160</v>
      </c>
      <c r="I38" s="264">
        <v>563</v>
      </c>
      <c r="J38" s="264">
        <v>143</v>
      </c>
      <c r="K38" s="264">
        <v>323</v>
      </c>
      <c r="L38" s="264">
        <v>632</v>
      </c>
      <c r="M38" s="264">
        <v>100</v>
      </c>
      <c r="N38" s="264">
        <v>32</v>
      </c>
      <c r="O38" s="264">
        <v>3441</v>
      </c>
    </row>
    <row r="39" spans="1:16" x14ac:dyDescent="0.3">
      <c r="B39" s="266" t="s">
        <v>394</v>
      </c>
      <c r="C39" s="263" t="s">
        <v>369</v>
      </c>
      <c r="D39" s="263" t="s">
        <v>369</v>
      </c>
      <c r="E39" s="267">
        <v>75</v>
      </c>
      <c r="F39" s="267">
        <v>92</v>
      </c>
      <c r="G39" s="267">
        <v>0</v>
      </c>
      <c r="H39" s="267">
        <v>20</v>
      </c>
      <c r="I39" s="267">
        <v>2</v>
      </c>
      <c r="J39" s="267">
        <v>10</v>
      </c>
      <c r="K39" s="267">
        <v>36</v>
      </c>
      <c r="L39" s="267">
        <v>50</v>
      </c>
      <c r="M39" s="267" t="s">
        <v>369</v>
      </c>
      <c r="N39" s="267">
        <v>18</v>
      </c>
      <c r="O39" s="267">
        <v>315</v>
      </c>
      <c r="P39" s="268"/>
    </row>
    <row r="40" spans="1:16" x14ac:dyDescent="0.3">
      <c r="B40" s="266" t="s">
        <v>395</v>
      </c>
      <c r="C40" s="263" t="s">
        <v>369</v>
      </c>
      <c r="D40" s="263" t="s">
        <v>369</v>
      </c>
      <c r="E40" s="267">
        <v>47</v>
      </c>
      <c r="F40" s="267">
        <v>92</v>
      </c>
      <c r="G40" s="267">
        <v>21</v>
      </c>
      <c r="H40" s="267">
        <v>31</v>
      </c>
      <c r="I40" s="267">
        <v>66</v>
      </c>
      <c r="J40" s="267">
        <v>21</v>
      </c>
      <c r="K40" s="267">
        <v>55</v>
      </c>
      <c r="L40" s="267">
        <v>165</v>
      </c>
      <c r="M40" s="267">
        <v>43</v>
      </c>
      <c r="N40" s="267">
        <v>37</v>
      </c>
      <c r="O40" s="267">
        <v>582</v>
      </c>
      <c r="P40" s="268"/>
    </row>
    <row r="41" spans="1:16" x14ac:dyDescent="0.3">
      <c r="B41" s="266" t="s">
        <v>396</v>
      </c>
      <c r="C41" s="263" t="s">
        <v>369</v>
      </c>
      <c r="D41" s="263" t="s">
        <v>369</v>
      </c>
      <c r="E41" s="267">
        <v>4278</v>
      </c>
      <c r="F41" s="267">
        <v>4247</v>
      </c>
      <c r="G41" s="267">
        <v>164</v>
      </c>
      <c r="H41" s="267">
        <v>2126</v>
      </c>
      <c r="I41" s="267">
        <v>14636</v>
      </c>
      <c r="J41" s="267">
        <v>3466</v>
      </c>
      <c r="K41" s="267">
        <v>4061</v>
      </c>
      <c r="L41" s="267">
        <v>17556</v>
      </c>
      <c r="M41" s="267">
        <v>1279</v>
      </c>
      <c r="N41" s="267">
        <v>75</v>
      </c>
      <c r="O41" s="267">
        <v>52149</v>
      </c>
      <c r="P41" s="268"/>
    </row>
    <row r="42" spans="1:16" x14ac:dyDescent="0.3">
      <c r="B42" s="266" t="s">
        <v>397</v>
      </c>
      <c r="C42" s="263" t="s">
        <v>369</v>
      </c>
      <c r="D42" s="263" t="s">
        <v>369</v>
      </c>
      <c r="E42" s="267">
        <v>687</v>
      </c>
      <c r="F42" s="267">
        <v>1171</v>
      </c>
      <c r="G42" s="267">
        <v>35</v>
      </c>
      <c r="H42" s="267">
        <v>19</v>
      </c>
      <c r="I42" s="267">
        <v>267</v>
      </c>
      <c r="J42" s="267">
        <v>119</v>
      </c>
      <c r="K42" s="267">
        <v>210</v>
      </c>
      <c r="L42" s="267">
        <v>610</v>
      </c>
      <c r="M42" s="267">
        <v>75</v>
      </c>
      <c r="N42" s="267">
        <v>102</v>
      </c>
      <c r="O42" s="267">
        <v>3329</v>
      </c>
      <c r="P42" s="268"/>
    </row>
    <row r="43" spans="1:16" x14ac:dyDescent="0.3">
      <c r="B43" s="266" t="s">
        <v>398</v>
      </c>
      <c r="C43" s="263" t="s">
        <v>369</v>
      </c>
      <c r="D43" s="263" t="s">
        <v>369</v>
      </c>
      <c r="E43" s="267">
        <v>439</v>
      </c>
      <c r="F43" s="267">
        <v>523</v>
      </c>
      <c r="G43" s="267">
        <v>64</v>
      </c>
      <c r="H43" s="267">
        <v>23</v>
      </c>
      <c r="I43" s="267">
        <v>621</v>
      </c>
      <c r="J43" s="267">
        <v>41</v>
      </c>
      <c r="K43" s="267">
        <v>167</v>
      </c>
      <c r="L43" s="267">
        <v>541</v>
      </c>
      <c r="M43" s="267">
        <v>24</v>
      </c>
      <c r="N43" s="267">
        <v>26</v>
      </c>
      <c r="O43" s="267">
        <v>2479</v>
      </c>
      <c r="P43" s="268"/>
    </row>
    <row r="44" spans="1:16" x14ac:dyDescent="0.3">
      <c r="B44" s="266" t="s">
        <v>399</v>
      </c>
      <c r="C44" s="263" t="s">
        <v>369</v>
      </c>
      <c r="D44" s="263" t="s">
        <v>369</v>
      </c>
      <c r="E44" s="267">
        <v>403</v>
      </c>
      <c r="F44" s="267">
        <v>586</v>
      </c>
      <c r="G44" s="267">
        <v>40</v>
      </c>
      <c r="H44" s="267">
        <v>56</v>
      </c>
      <c r="I44" s="267">
        <v>169</v>
      </c>
      <c r="J44" s="267">
        <v>225</v>
      </c>
      <c r="K44" s="267">
        <v>250</v>
      </c>
      <c r="L44" s="267">
        <v>195</v>
      </c>
      <c r="M44" s="267">
        <v>11</v>
      </c>
      <c r="N44" s="267">
        <v>90</v>
      </c>
      <c r="O44" s="267">
        <v>2038</v>
      </c>
      <c r="P44" s="268"/>
    </row>
    <row r="45" spans="1:16" x14ac:dyDescent="0.3">
      <c r="B45" s="266" t="s">
        <v>400</v>
      </c>
      <c r="C45" s="263" t="s">
        <v>369</v>
      </c>
      <c r="D45" s="263" t="s">
        <v>369</v>
      </c>
      <c r="E45" s="267">
        <v>24</v>
      </c>
      <c r="F45" s="267">
        <v>27</v>
      </c>
      <c r="G45" s="267">
        <v>0</v>
      </c>
      <c r="H45" s="267">
        <v>0</v>
      </c>
      <c r="I45" s="267">
        <v>0</v>
      </c>
      <c r="J45" s="267">
        <v>0</v>
      </c>
      <c r="K45" s="267">
        <v>19</v>
      </c>
      <c r="L45" s="267" t="s">
        <v>369</v>
      </c>
      <c r="M45" s="267">
        <v>0</v>
      </c>
      <c r="N45" s="267">
        <v>17</v>
      </c>
      <c r="O45" s="267">
        <v>95</v>
      </c>
      <c r="P45" s="268"/>
    </row>
    <row r="46" spans="1:16" x14ac:dyDescent="0.3">
      <c r="B46" s="266" t="s">
        <v>401</v>
      </c>
      <c r="C46" s="263" t="s">
        <v>369</v>
      </c>
      <c r="D46" s="263" t="s">
        <v>369</v>
      </c>
      <c r="E46" s="267">
        <v>569</v>
      </c>
      <c r="F46" s="267">
        <v>279</v>
      </c>
      <c r="G46" s="267">
        <v>0</v>
      </c>
      <c r="H46" s="267">
        <v>129</v>
      </c>
      <c r="I46" s="267">
        <v>4604</v>
      </c>
      <c r="J46" s="267">
        <v>238</v>
      </c>
      <c r="K46" s="267">
        <v>248</v>
      </c>
      <c r="L46" s="267">
        <v>1111</v>
      </c>
      <c r="M46" s="267">
        <v>175</v>
      </c>
      <c r="N46" s="267">
        <v>62</v>
      </c>
      <c r="O46" s="267">
        <v>7441</v>
      </c>
      <c r="P46" s="268"/>
    </row>
    <row r="47" spans="1:16" x14ac:dyDescent="0.3">
      <c r="B47" s="266" t="s">
        <v>402</v>
      </c>
      <c r="C47" s="263" t="s">
        <v>369</v>
      </c>
      <c r="D47" s="263" t="s">
        <v>369</v>
      </c>
      <c r="E47" s="267">
        <v>63</v>
      </c>
      <c r="F47" s="267">
        <v>279</v>
      </c>
      <c r="G47" s="267">
        <v>9</v>
      </c>
      <c r="H47" s="267">
        <v>18</v>
      </c>
      <c r="I47" s="267">
        <v>28</v>
      </c>
      <c r="J47" s="267">
        <v>70</v>
      </c>
      <c r="K47" s="267">
        <v>55</v>
      </c>
      <c r="L47" s="267">
        <v>161</v>
      </c>
      <c r="M47" s="267">
        <v>10</v>
      </c>
      <c r="N47" s="267">
        <v>25</v>
      </c>
      <c r="O47" s="267">
        <v>731</v>
      </c>
      <c r="P47" s="268"/>
    </row>
    <row r="48" spans="1:16" x14ac:dyDescent="0.3">
      <c r="B48" s="266" t="s">
        <v>403</v>
      </c>
      <c r="C48" s="263" t="s">
        <v>369</v>
      </c>
      <c r="D48" s="263" t="s">
        <v>369</v>
      </c>
      <c r="E48" s="267">
        <v>8</v>
      </c>
      <c r="F48" s="267">
        <v>27</v>
      </c>
      <c r="G48" s="267">
        <v>0</v>
      </c>
      <c r="H48" s="267">
        <v>4</v>
      </c>
      <c r="I48" s="267">
        <v>4</v>
      </c>
      <c r="J48" s="267">
        <v>6</v>
      </c>
      <c r="K48" s="267">
        <v>20</v>
      </c>
      <c r="L48" s="267">
        <v>32</v>
      </c>
      <c r="M48" s="267" t="s">
        <v>369</v>
      </c>
      <c r="N48" s="267">
        <v>4</v>
      </c>
      <c r="O48" s="267">
        <v>109</v>
      </c>
      <c r="P48" s="268"/>
    </row>
    <row r="49" spans="1:16" x14ac:dyDescent="0.3">
      <c r="B49" s="266" t="s">
        <v>404</v>
      </c>
      <c r="C49" s="263" t="s">
        <v>369</v>
      </c>
      <c r="D49" s="263" t="s">
        <v>369</v>
      </c>
      <c r="E49" s="267">
        <v>117</v>
      </c>
      <c r="F49" s="267">
        <v>524</v>
      </c>
      <c r="G49" s="267">
        <v>21</v>
      </c>
      <c r="H49" s="267">
        <v>19</v>
      </c>
      <c r="I49" s="267">
        <v>192</v>
      </c>
      <c r="J49" s="267">
        <v>63</v>
      </c>
      <c r="K49" s="267">
        <v>103</v>
      </c>
      <c r="L49" s="267" t="s">
        <v>369</v>
      </c>
      <c r="M49" s="267">
        <v>11</v>
      </c>
      <c r="N49" s="267">
        <v>67</v>
      </c>
      <c r="O49" s="267">
        <v>1635</v>
      </c>
      <c r="P49" s="268"/>
    </row>
    <row r="50" spans="1:16" x14ac:dyDescent="0.3">
      <c r="B50" s="266" t="s">
        <v>405</v>
      </c>
      <c r="C50" s="263" t="s">
        <v>369</v>
      </c>
      <c r="D50" s="263" t="s">
        <v>369</v>
      </c>
      <c r="E50" s="267">
        <v>333</v>
      </c>
      <c r="F50" s="267">
        <v>463</v>
      </c>
      <c r="G50" s="267">
        <v>0</v>
      </c>
      <c r="H50" s="267">
        <v>34</v>
      </c>
      <c r="I50" s="267">
        <v>368</v>
      </c>
      <c r="J50" s="267">
        <v>165</v>
      </c>
      <c r="K50" s="267">
        <v>175</v>
      </c>
      <c r="L50" s="267">
        <v>922</v>
      </c>
      <c r="M50" s="267">
        <v>15</v>
      </c>
      <c r="N50" s="267">
        <v>14</v>
      </c>
      <c r="O50" s="267">
        <v>2507</v>
      </c>
      <c r="P50" s="268"/>
    </row>
    <row r="51" spans="1:16" x14ac:dyDescent="0.3">
      <c r="B51" s="266" t="s">
        <v>406</v>
      </c>
      <c r="C51" s="263" t="s">
        <v>369</v>
      </c>
      <c r="D51" s="263" t="s">
        <v>369</v>
      </c>
      <c r="E51" s="267">
        <v>275</v>
      </c>
      <c r="F51" s="267">
        <v>213</v>
      </c>
      <c r="G51" s="267">
        <v>128</v>
      </c>
      <c r="H51" s="267">
        <v>20</v>
      </c>
      <c r="I51" s="267">
        <v>233</v>
      </c>
      <c r="J51" s="267">
        <v>65</v>
      </c>
      <c r="K51" s="267">
        <v>98</v>
      </c>
      <c r="L51" s="267">
        <v>369</v>
      </c>
      <c r="M51" s="267">
        <v>18</v>
      </c>
      <c r="N51" s="267">
        <v>22</v>
      </c>
      <c r="O51" s="267">
        <v>1476</v>
      </c>
      <c r="P51" s="268"/>
    </row>
    <row r="52" spans="1:16" x14ac:dyDescent="0.3">
      <c r="B52" s="266" t="s">
        <v>407</v>
      </c>
      <c r="C52" s="263" t="s">
        <v>369</v>
      </c>
      <c r="D52" s="263" t="s">
        <v>369</v>
      </c>
      <c r="E52" s="267">
        <v>85</v>
      </c>
      <c r="F52" s="267">
        <v>0</v>
      </c>
      <c r="G52" s="267">
        <v>0</v>
      </c>
      <c r="H52" s="267">
        <v>4</v>
      </c>
      <c r="I52" s="267">
        <v>176</v>
      </c>
      <c r="J52" s="267">
        <v>15</v>
      </c>
      <c r="K52" s="267">
        <v>95</v>
      </c>
      <c r="L52" s="267">
        <v>371</v>
      </c>
      <c r="M52" s="267">
        <v>10</v>
      </c>
      <c r="N52" s="267">
        <v>13</v>
      </c>
      <c r="O52" s="267">
        <v>777</v>
      </c>
      <c r="P52" s="268"/>
    </row>
    <row r="53" spans="1:16" x14ac:dyDescent="0.3">
      <c r="B53" s="266" t="s">
        <v>408</v>
      </c>
      <c r="C53" s="263" t="s">
        <v>369</v>
      </c>
      <c r="D53" s="263" t="s">
        <v>369</v>
      </c>
      <c r="E53" s="267">
        <v>41</v>
      </c>
      <c r="F53" s="267">
        <v>153</v>
      </c>
      <c r="G53" s="267">
        <v>0</v>
      </c>
      <c r="H53" s="267">
        <v>5</v>
      </c>
      <c r="I53" s="267">
        <v>23</v>
      </c>
      <c r="J53" s="267">
        <v>30</v>
      </c>
      <c r="K53" s="267">
        <v>31</v>
      </c>
      <c r="L53" s="267">
        <v>78</v>
      </c>
      <c r="M53" s="267" t="s">
        <v>369</v>
      </c>
      <c r="N53" s="267">
        <v>21</v>
      </c>
      <c r="O53" s="267">
        <v>396</v>
      </c>
      <c r="P53" s="268"/>
    </row>
    <row r="54" spans="1:16" x14ac:dyDescent="0.3">
      <c r="B54" s="266" t="s">
        <v>409</v>
      </c>
      <c r="C54" s="263" t="s">
        <v>369</v>
      </c>
      <c r="D54" s="263" t="s">
        <v>369</v>
      </c>
      <c r="E54" s="267">
        <v>1362</v>
      </c>
      <c r="F54" s="267">
        <v>1259</v>
      </c>
      <c r="G54" s="267">
        <v>16</v>
      </c>
      <c r="H54" s="267">
        <v>221</v>
      </c>
      <c r="I54" s="267">
        <v>541</v>
      </c>
      <c r="J54" s="267">
        <v>166</v>
      </c>
      <c r="K54" s="267">
        <v>260</v>
      </c>
      <c r="L54" s="267">
        <v>559</v>
      </c>
      <c r="M54" s="267">
        <v>71</v>
      </c>
      <c r="N54" s="267">
        <v>24</v>
      </c>
      <c r="O54" s="267">
        <v>4499</v>
      </c>
      <c r="P54" s="268"/>
    </row>
    <row r="55" spans="1:16" x14ac:dyDescent="0.3">
      <c r="B55" s="266" t="s">
        <v>410</v>
      </c>
      <c r="C55" s="263" t="s">
        <v>369</v>
      </c>
      <c r="D55" s="263" t="s">
        <v>369</v>
      </c>
      <c r="E55" s="267">
        <v>472</v>
      </c>
      <c r="F55" s="267">
        <v>246</v>
      </c>
      <c r="G55" s="267">
        <v>0</v>
      </c>
      <c r="H55" s="267">
        <v>56</v>
      </c>
      <c r="I55" s="267">
        <v>270</v>
      </c>
      <c r="J55" s="267">
        <v>278</v>
      </c>
      <c r="K55" s="267">
        <v>291</v>
      </c>
      <c r="L55" s="267">
        <v>224</v>
      </c>
      <c r="M55" s="267">
        <v>33</v>
      </c>
      <c r="N55" s="267">
        <v>34</v>
      </c>
      <c r="O55" s="267">
        <v>1918</v>
      </c>
      <c r="P55" s="268"/>
    </row>
    <row r="56" spans="1:16" x14ac:dyDescent="0.3">
      <c r="B56" s="266" t="s">
        <v>411</v>
      </c>
      <c r="C56" s="263" t="s">
        <v>369</v>
      </c>
      <c r="D56" s="263" t="s">
        <v>369</v>
      </c>
      <c r="E56" s="267">
        <v>153</v>
      </c>
      <c r="F56" s="267">
        <v>184</v>
      </c>
      <c r="G56" s="267">
        <v>0</v>
      </c>
      <c r="H56" s="267">
        <v>29</v>
      </c>
      <c r="I56" s="267">
        <v>79</v>
      </c>
      <c r="J56" s="267">
        <v>76</v>
      </c>
      <c r="K56" s="267">
        <v>79</v>
      </c>
      <c r="L56" s="267">
        <v>259</v>
      </c>
      <c r="M56" s="267">
        <v>20</v>
      </c>
      <c r="N56" s="267">
        <v>22</v>
      </c>
      <c r="O56" s="267">
        <v>907</v>
      </c>
      <c r="P56" s="268"/>
    </row>
    <row r="57" spans="1:16" x14ac:dyDescent="0.3">
      <c r="B57" s="266" t="s">
        <v>412</v>
      </c>
      <c r="C57" s="263" t="s">
        <v>369</v>
      </c>
      <c r="D57" s="263" t="s">
        <v>369</v>
      </c>
      <c r="E57" s="267">
        <v>24</v>
      </c>
      <c r="F57" s="267">
        <v>63</v>
      </c>
      <c r="G57" s="267">
        <v>0</v>
      </c>
      <c r="H57" s="267">
        <v>5</v>
      </c>
      <c r="I57" s="267">
        <v>9</v>
      </c>
      <c r="J57" s="267">
        <v>5</v>
      </c>
      <c r="K57" s="267">
        <v>16</v>
      </c>
      <c r="L57" s="267">
        <v>76</v>
      </c>
      <c r="M57" s="267">
        <v>0</v>
      </c>
      <c r="N57" s="267">
        <v>0</v>
      </c>
      <c r="O57" s="267">
        <v>202</v>
      </c>
      <c r="P57" s="268"/>
    </row>
    <row r="58" spans="1:16" x14ac:dyDescent="0.3">
      <c r="B58" s="266" t="s">
        <v>413</v>
      </c>
      <c r="C58" s="263" t="s">
        <v>369</v>
      </c>
      <c r="D58" s="263" t="s">
        <v>369</v>
      </c>
      <c r="E58" s="267">
        <v>136</v>
      </c>
      <c r="F58" s="267">
        <v>246</v>
      </c>
      <c r="G58" s="267">
        <v>0</v>
      </c>
      <c r="H58" s="267">
        <v>22</v>
      </c>
      <c r="I58" s="267">
        <v>27</v>
      </c>
      <c r="J58" s="267">
        <v>17</v>
      </c>
      <c r="K58" s="267">
        <v>75</v>
      </c>
      <c r="L58" s="267">
        <v>7</v>
      </c>
      <c r="M58" s="267">
        <v>8</v>
      </c>
      <c r="N58" s="267">
        <v>8</v>
      </c>
      <c r="O58" s="267">
        <v>551</v>
      </c>
      <c r="P58" s="268"/>
    </row>
    <row r="59" spans="1:16" x14ac:dyDescent="0.3">
      <c r="B59" s="266" t="s">
        <v>414</v>
      </c>
      <c r="C59" s="263" t="s">
        <v>369</v>
      </c>
      <c r="D59" s="263" t="s">
        <v>369</v>
      </c>
      <c r="E59" s="267">
        <v>141</v>
      </c>
      <c r="F59" s="267">
        <v>491</v>
      </c>
      <c r="G59" s="267">
        <v>72</v>
      </c>
      <c r="H59" s="267">
        <v>157</v>
      </c>
      <c r="I59" s="267">
        <v>448</v>
      </c>
      <c r="J59" s="267">
        <v>193</v>
      </c>
      <c r="K59" s="267">
        <v>273</v>
      </c>
      <c r="L59" s="267">
        <v>651</v>
      </c>
      <c r="M59" s="267">
        <v>14</v>
      </c>
      <c r="N59" s="267">
        <v>7</v>
      </c>
      <c r="O59" s="267">
        <v>2496</v>
      </c>
      <c r="P59" s="268"/>
    </row>
    <row r="60" spans="1:16" x14ac:dyDescent="0.3">
      <c r="B60" s="266" t="s">
        <v>88</v>
      </c>
      <c r="C60" s="263" t="s">
        <v>369</v>
      </c>
      <c r="D60" s="263" t="s">
        <v>369</v>
      </c>
      <c r="E60" s="267">
        <v>9507</v>
      </c>
      <c r="F60" s="267">
        <v>3251</v>
      </c>
      <c r="G60" s="267">
        <v>261</v>
      </c>
      <c r="H60" s="267">
        <v>13002</v>
      </c>
      <c r="I60" s="267">
        <v>7836</v>
      </c>
      <c r="J60" s="267">
        <v>1772</v>
      </c>
      <c r="K60" s="267">
        <v>2458</v>
      </c>
      <c r="L60" s="267">
        <v>9711</v>
      </c>
      <c r="M60" s="267">
        <v>447</v>
      </c>
      <c r="N60" s="267">
        <v>1045</v>
      </c>
      <c r="O60" s="267">
        <v>50248</v>
      </c>
      <c r="P60" s="268"/>
    </row>
    <row r="62" spans="1:16" ht="15" thickBot="1" x14ac:dyDescent="0.35">
      <c r="A62" s="269"/>
      <c r="B62" s="269" t="s">
        <v>415</v>
      </c>
      <c r="C62" s="270">
        <v>2094</v>
      </c>
      <c r="D62" s="270">
        <v>1871</v>
      </c>
      <c r="E62" s="270">
        <v>25950</v>
      </c>
      <c r="F62" s="270">
        <v>30756</v>
      </c>
      <c r="G62" s="270">
        <v>1787</v>
      </c>
      <c r="H62" s="270">
        <v>17630</v>
      </c>
      <c r="I62" s="270">
        <v>61383</v>
      </c>
      <c r="J62" s="270">
        <v>12649</v>
      </c>
      <c r="K62" s="270">
        <v>19036</v>
      </c>
      <c r="L62" s="270">
        <v>66051</v>
      </c>
      <c r="M62" s="270">
        <v>3631</v>
      </c>
      <c r="N62" s="270">
        <v>2568</v>
      </c>
      <c r="O62" s="270">
        <v>245406</v>
      </c>
    </row>
    <row r="64" spans="1:16" x14ac:dyDescent="0.3">
      <c r="A64" s="261" t="s">
        <v>86</v>
      </c>
      <c r="H64" s="271"/>
    </row>
    <row r="65" spans="1:17" x14ac:dyDescent="0.3">
      <c r="A65" s="261"/>
      <c r="B65" s="261" t="s">
        <v>368</v>
      </c>
      <c r="C65" s="263" t="s">
        <v>369</v>
      </c>
      <c r="D65" s="263" t="s">
        <v>369</v>
      </c>
      <c r="E65" s="264">
        <v>10876</v>
      </c>
      <c r="F65" s="264">
        <v>30377</v>
      </c>
      <c r="G65" s="264">
        <v>798</v>
      </c>
      <c r="H65" s="264">
        <v>4</v>
      </c>
      <c r="I65" s="264">
        <v>4118</v>
      </c>
      <c r="J65" s="264">
        <v>2665</v>
      </c>
      <c r="K65" s="264">
        <v>5982</v>
      </c>
      <c r="L65" s="264">
        <v>18724</v>
      </c>
      <c r="M65" s="264">
        <v>382</v>
      </c>
      <c r="N65" s="264">
        <v>1228</v>
      </c>
      <c r="O65" s="264">
        <v>76108</v>
      </c>
      <c r="Q65" s="265">
        <f>SUM(E65:N65)</f>
        <v>75154</v>
      </c>
    </row>
    <row r="66" spans="1:17" x14ac:dyDescent="0.3">
      <c r="A66" s="261"/>
      <c r="B66" s="25" t="s">
        <v>370</v>
      </c>
      <c r="C66" s="263" t="s">
        <v>369</v>
      </c>
      <c r="D66" s="263" t="s">
        <v>369</v>
      </c>
      <c r="E66" s="264">
        <v>304</v>
      </c>
      <c r="F66" s="264">
        <v>480</v>
      </c>
      <c r="G66" s="264">
        <v>21</v>
      </c>
      <c r="H66" s="264">
        <v>0</v>
      </c>
      <c r="I66" s="264">
        <v>188</v>
      </c>
      <c r="J66" s="264">
        <v>72</v>
      </c>
      <c r="K66" s="264">
        <v>153</v>
      </c>
      <c r="L66" s="264">
        <v>1316</v>
      </c>
      <c r="M66" s="264">
        <v>7</v>
      </c>
      <c r="N66" s="264">
        <v>152</v>
      </c>
      <c r="O66" s="264">
        <v>2731</v>
      </c>
    </row>
    <row r="67" spans="1:17" x14ac:dyDescent="0.3">
      <c r="A67" s="261"/>
      <c r="B67" s="25" t="s">
        <v>371</v>
      </c>
      <c r="C67" s="263" t="s">
        <v>369</v>
      </c>
      <c r="D67" s="263" t="s">
        <v>369</v>
      </c>
      <c r="E67" s="264">
        <v>49</v>
      </c>
      <c r="F67" s="264">
        <v>0</v>
      </c>
      <c r="G67" s="264" t="s">
        <v>369</v>
      </c>
      <c r="H67" s="264">
        <v>0</v>
      </c>
      <c r="I67" s="264">
        <v>197</v>
      </c>
      <c r="J67" s="264">
        <v>361</v>
      </c>
      <c r="K67" s="264">
        <v>992</v>
      </c>
      <c r="L67" s="264">
        <v>542</v>
      </c>
      <c r="M67" s="264">
        <v>8</v>
      </c>
      <c r="N67" s="264">
        <v>0</v>
      </c>
      <c r="O67" s="264">
        <v>2172</v>
      </c>
    </row>
    <row r="68" spans="1:17" x14ac:dyDescent="0.3">
      <c r="A68" s="261"/>
      <c r="B68" s="25" t="s">
        <v>372</v>
      </c>
      <c r="C68" s="263" t="s">
        <v>369</v>
      </c>
      <c r="D68" s="263" t="s">
        <v>369</v>
      </c>
      <c r="E68" s="264">
        <v>294</v>
      </c>
      <c r="F68" s="264">
        <v>286</v>
      </c>
      <c r="G68" s="264">
        <v>5</v>
      </c>
      <c r="H68" s="264">
        <v>0</v>
      </c>
      <c r="I68" s="264">
        <v>47</v>
      </c>
      <c r="J68" s="264">
        <v>50</v>
      </c>
      <c r="K68" s="264">
        <v>48</v>
      </c>
      <c r="L68" s="264">
        <v>458</v>
      </c>
      <c r="M68" s="264">
        <v>38</v>
      </c>
      <c r="N68" s="264">
        <v>10</v>
      </c>
      <c r="O68" s="264">
        <v>1314</v>
      </c>
    </row>
    <row r="69" spans="1:17" x14ac:dyDescent="0.3">
      <c r="A69" s="261"/>
      <c r="B69" s="25" t="s">
        <v>91</v>
      </c>
      <c r="C69" s="263" t="s">
        <v>369</v>
      </c>
      <c r="D69" s="263" t="s">
        <v>369</v>
      </c>
      <c r="E69" s="264">
        <v>1956</v>
      </c>
      <c r="F69" s="264">
        <v>4369</v>
      </c>
      <c r="G69" s="264">
        <v>67</v>
      </c>
      <c r="H69" s="264">
        <v>3</v>
      </c>
      <c r="I69" s="264">
        <v>865</v>
      </c>
      <c r="J69" s="264">
        <v>360</v>
      </c>
      <c r="K69" s="264">
        <v>789</v>
      </c>
      <c r="L69" s="264">
        <v>3355</v>
      </c>
      <c r="M69" s="264">
        <v>28</v>
      </c>
      <c r="N69" s="264">
        <v>151</v>
      </c>
      <c r="O69" s="264">
        <v>12112</v>
      </c>
    </row>
    <row r="70" spans="1:17" x14ac:dyDescent="0.3">
      <c r="A70" s="261"/>
      <c r="B70" s="25" t="s">
        <v>90</v>
      </c>
      <c r="C70" s="263" t="s">
        <v>369</v>
      </c>
      <c r="D70" s="263" t="s">
        <v>369</v>
      </c>
      <c r="E70" s="264">
        <v>1071</v>
      </c>
      <c r="F70" s="264">
        <v>1250</v>
      </c>
      <c r="G70" s="264">
        <v>151</v>
      </c>
      <c r="H70" s="264">
        <v>1</v>
      </c>
      <c r="I70" s="264">
        <v>743</v>
      </c>
      <c r="J70" s="264">
        <v>376</v>
      </c>
      <c r="K70" s="264">
        <v>1184</v>
      </c>
      <c r="L70" s="264">
        <v>3791</v>
      </c>
      <c r="M70" s="264">
        <v>55</v>
      </c>
      <c r="N70" s="264">
        <v>482</v>
      </c>
      <c r="O70" s="264">
        <v>9328</v>
      </c>
    </row>
    <row r="71" spans="1:17" x14ac:dyDescent="0.3">
      <c r="A71" s="261"/>
      <c r="B71" s="25" t="s">
        <v>373</v>
      </c>
      <c r="C71" s="263" t="s">
        <v>369</v>
      </c>
      <c r="D71" s="263" t="s">
        <v>369</v>
      </c>
      <c r="E71" s="264">
        <v>705</v>
      </c>
      <c r="F71" s="264">
        <v>1439</v>
      </c>
      <c r="G71" s="264">
        <v>83</v>
      </c>
      <c r="H71" s="264">
        <v>0</v>
      </c>
      <c r="I71" s="264">
        <v>576</v>
      </c>
      <c r="J71" s="264">
        <v>569</v>
      </c>
      <c r="K71" s="264">
        <v>937</v>
      </c>
      <c r="L71" s="264">
        <v>2760</v>
      </c>
      <c r="M71" s="264">
        <v>74</v>
      </c>
      <c r="N71" s="264">
        <v>12</v>
      </c>
      <c r="O71" s="264">
        <v>7202</v>
      </c>
    </row>
    <row r="72" spans="1:17" x14ac:dyDescent="0.3">
      <c r="A72" s="261"/>
      <c r="B72" s="25" t="s">
        <v>374</v>
      </c>
      <c r="C72" s="263" t="s">
        <v>369</v>
      </c>
      <c r="D72" s="263" t="s">
        <v>369</v>
      </c>
      <c r="E72" s="264">
        <v>823</v>
      </c>
      <c r="F72" s="264">
        <v>2833</v>
      </c>
      <c r="G72" s="264">
        <v>164</v>
      </c>
      <c r="H72" s="264">
        <v>0</v>
      </c>
      <c r="I72" s="264">
        <v>229</v>
      </c>
      <c r="J72" s="264">
        <v>71</v>
      </c>
      <c r="K72" s="264">
        <v>218</v>
      </c>
      <c r="L72" s="264">
        <v>728</v>
      </c>
      <c r="M72" s="264">
        <v>10</v>
      </c>
      <c r="N72" s="264">
        <v>22</v>
      </c>
      <c r="O72" s="264">
        <v>5150</v>
      </c>
    </row>
    <row r="73" spans="1:17" x14ac:dyDescent="0.3">
      <c r="A73" s="261"/>
      <c r="B73" s="25" t="s">
        <v>375</v>
      </c>
      <c r="C73" s="263" t="s">
        <v>369</v>
      </c>
      <c r="D73" s="263" t="s">
        <v>369</v>
      </c>
      <c r="E73" s="264">
        <v>787</v>
      </c>
      <c r="F73" s="264">
        <v>1152</v>
      </c>
      <c r="G73" s="264">
        <v>113</v>
      </c>
      <c r="H73" s="264">
        <v>0</v>
      </c>
      <c r="I73" s="264">
        <v>666</v>
      </c>
      <c r="J73" s="264">
        <v>524</v>
      </c>
      <c r="K73" s="264">
        <v>596</v>
      </c>
      <c r="L73" s="264">
        <v>2116</v>
      </c>
      <c r="M73" s="264">
        <v>48</v>
      </c>
      <c r="N73" s="264">
        <v>57</v>
      </c>
      <c r="O73" s="264">
        <v>6164</v>
      </c>
    </row>
    <row r="74" spans="1:17" x14ac:dyDescent="0.3">
      <c r="A74" s="261"/>
      <c r="B74" s="25" t="s">
        <v>93</v>
      </c>
      <c r="C74" s="263" t="s">
        <v>369</v>
      </c>
      <c r="D74" s="263" t="s">
        <v>369</v>
      </c>
      <c r="E74" s="264">
        <v>2234</v>
      </c>
      <c r="F74" s="264">
        <v>9463</v>
      </c>
      <c r="G74" s="264">
        <v>23</v>
      </c>
      <c r="H74" s="264">
        <v>0</v>
      </c>
      <c r="I74" s="264">
        <v>212</v>
      </c>
      <c r="J74" s="264">
        <v>40</v>
      </c>
      <c r="K74" s="264">
        <v>253</v>
      </c>
      <c r="L74" s="264">
        <v>895</v>
      </c>
      <c r="M74" s="264">
        <v>14</v>
      </c>
      <c r="N74" s="264">
        <v>24</v>
      </c>
      <c r="O74" s="264">
        <v>13220</v>
      </c>
    </row>
    <row r="75" spans="1:17" x14ac:dyDescent="0.3">
      <c r="A75" s="261"/>
      <c r="B75" s="25" t="s">
        <v>376</v>
      </c>
      <c r="C75" s="263" t="s">
        <v>369</v>
      </c>
      <c r="D75" s="263" t="s">
        <v>369</v>
      </c>
      <c r="E75" s="264">
        <v>175</v>
      </c>
      <c r="F75" s="264">
        <v>237</v>
      </c>
      <c r="G75" s="264">
        <v>13</v>
      </c>
      <c r="H75" s="264">
        <v>0</v>
      </c>
      <c r="I75" s="264">
        <v>96</v>
      </c>
      <c r="J75" s="264">
        <v>101</v>
      </c>
      <c r="K75" s="264">
        <v>289</v>
      </c>
      <c r="L75" s="264">
        <v>926</v>
      </c>
      <c r="M75" s="264">
        <v>31</v>
      </c>
      <c r="N75" s="264">
        <v>43</v>
      </c>
      <c r="O75" s="264">
        <v>1930</v>
      </c>
    </row>
    <row r="76" spans="1:17" x14ac:dyDescent="0.3">
      <c r="A76" s="261"/>
      <c r="B76" s="25" t="s">
        <v>377</v>
      </c>
      <c r="C76" s="263" t="s">
        <v>369</v>
      </c>
      <c r="D76" s="263" t="s">
        <v>369</v>
      </c>
      <c r="E76" s="264">
        <v>360</v>
      </c>
      <c r="F76" s="264">
        <v>961</v>
      </c>
      <c r="G76" s="264">
        <v>68</v>
      </c>
      <c r="H76" s="264">
        <v>0</v>
      </c>
      <c r="I76" s="264">
        <v>18</v>
      </c>
      <c r="J76" s="264">
        <v>38</v>
      </c>
      <c r="K76" s="264">
        <v>122</v>
      </c>
      <c r="L76" s="264">
        <v>436</v>
      </c>
      <c r="M76" s="264">
        <v>34</v>
      </c>
      <c r="N76" s="264">
        <v>19</v>
      </c>
      <c r="O76" s="264">
        <v>2101</v>
      </c>
    </row>
    <row r="77" spans="1:17" x14ac:dyDescent="0.3">
      <c r="A77" s="261"/>
      <c r="B77" s="25" t="s">
        <v>378</v>
      </c>
      <c r="C77" s="263" t="s">
        <v>369</v>
      </c>
      <c r="D77" s="263" t="s">
        <v>369</v>
      </c>
      <c r="E77" s="264">
        <v>74</v>
      </c>
      <c r="F77" s="264">
        <v>141</v>
      </c>
      <c r="G77" s="264">
        <v>18</v>
      </c>
      <c r="H77" s="264">
        <v>0</v>
      </c>
      <c r="I77" s="264">
        <v>36</v>
      </c>
      <c r="J77" s="264" t="s">
        <v>369</v>
      </c>
      <c r="K77" s="264">
        <v>18</v>
      </c>
      <c r="L77" s="264">
        <v>199</v>
      </c>
      <c r="M77" s="264">
        <v>0</v>
      </c>
      <c r="N77" s="264">
        <v>0</v>
      </c>
      <c r="O77" s="264">
        <v>491</v>
      </c>
    </row>
    <row r="78" spans="1:17" x14ac:dyDescent="0.3">
      <c r="A78" s="261"/>
      <c r="B78" s="25" t="s">
        <v>379</v>
      </c>
      <c r="C78" s="263" t="s">
        <v>369</v>
      </c>
      <c r="D78" s="263" t="s">
        <v>369</v>
      </c>
      <c r="E78" s="264">
        <v>461</v>
      </c>
      <c r="F78" s="264">
        <v>1872</v>
      </c>
      <c r="G78" s="264">
        <v>19</v>
      </c>
      <c r="H78" s="264">
        <v>0</v>
      </c>
      <c r="I78" s="264">
        <v>38</v>
      </c>
      <c r="J78" s="264">
        <v>4</v>
      </c>
      <c r="K78" s="264">
        <v>39</v>
      </c>
      <c r="L78" s="264">
        <v>138</v>
      </c>
      <c r="M78" s="264">
        <v>1</v>
      </c>
      <c r="N78" s="264">
        <v>21</v>
      </c>
      <c r="O78" s="264">
        <v>2598</v>
      </c>
    </row>
    <row r="79" spans="1:17" x14ac:dyDescent="0.3">
      <c r="A79" s="261"/>
      <c r="B79" s="25" t="s">
        <v>380</v>
      </c>
      <c r="C79" s="263" t="s">
        <v>369</v>
      </c>
      <c r="D79" s="263" t="s">
        <v>369</v>
      </c>
      <c r="E79" s="264">
        <v>580</v>
      </c>
      <c r="F79" s="264">
        <v>1921</v>
      </c>
      <c r="G79" s="264">
        <v>1</v>
      </c>
      <c r="H79" s="264">
        <v>0</v>
      </c>
      <c r="I79" s="264">
        <v>28</v>
      </c>
      <c r="J79" s="264" t="s">
        <v>369</v>
      </c>
      <c r="K79" s="264">
        <v>24</v>
      </c>
      <c r="L79" s="264">
        <v>74</v>
      </c>
      <c r="M79" s="264" t="s">
        <v>369</v>
      </c>
      <c r="N79" s="264">
        <v>87</v>
      </c>
      <c r="O79" s="264">
        <v>2720</v>
      </c>
    </row>
    <row r="80" spans="1:17" x14ac:dyDescent="0.3">
      <c r="A80" s="261"/>
      <c r="B80" s="25" t="s">
        <v>381</v>
      </c>
      <c r="C80" s="263" t="s">
        <v>369</v>
      </c>
      <c r="D80" s="263" t="s">
        <v>369</v>
      </c>
      <c r="E80" s="264">
        <v>129</v>
      </c>
      <c r="F80" s="264">
        <v>722</v>
      </c>
      <c r="G80" s="264">
        <v>7</v>
      </c>
      <c r="H80" s="264">
        <v>0</v>
      </c>
      <c r="I80" s="264">
        <v>43</v>
      </c>
      <c r="J80" s="264">
        <v>17</v>
      </c>
      <c r="K80" s="264">
        <v>32</v>
      </c>
      <c r="L80" s="264">
        <v>241</v>
      </c>
      <c r="M80" s="264">
        <v>6</v>
      </c>
      <c r="N80" s="264">
        <v>11</v>
      </c>
      <c r="O80" s="264">
        <v>1286</v>
      </c>
    </row>
    <row r="81" spans="1:15" x14ac:dyDescent="0.3">
      <c r="A81" s="261"/>
      <c r="B81" s="25" t="s">
        <v>382</v>
      </c>
      <c r="C81" s="263" t="s">
        <v>369</v>
      </c>
      <c r="D81" s="263" t="s">
        <v>369</v>
      </c>
      <c r="E81" s="264">
        <v>107</v>
      </c>
      <c r="F81" s="264">
        <v>237</v>
      </c>
      <c r="G81" s="264">
        <v>3</v>
      </c>
      <c r="H81" s="264">
        <v>0</v>
      </c>
      <c r="I81" s="264">
        <v>36</v>
      </c>
      <c r="J81" s="264">
        <v>4</v>
      </c>
      <c r="K81" s="264">
        <v>87</v>
      </c>
      <c r="L81" s="264">
        <v>174</v>
      </c>
      <c r="M81" s="264">
        <v>4</v>
      </c>
      <c r="N81" s="264">
        <v>9</v>
      </c>
      <c r="O81" s="264">
        <v>679</v>
      </c>
    </row>
    <row r="82" spans="1:15" x14ac:dyDescent="0.3">
      <c r="A82" s="261"/>
      <c r="B82" s="25" t="s">
        <v>383</v>
      </c>
      <c r="C82" s="263" t="s">
        <v>369</v>
      </c>
      <c r="D82" s="263" t="s">
        <v>369</v>
      </c>
      <c r="E82" s="264">
        <v>13</v>
      </c>
      <c r="F82" s="264">
        <v>0</v>
      </c>
      <c r="G82" s="264" t="s">
        <v>369</v>
      </c>
      <c r="H82" s="264">
        <v>0</v>
      </c>
      <c r="I82" s="264">
        <v>0</v>
      </c>
      <c r="J82" s="264">
        <v>0</v>
      </c>
      <c r="K82" s="264">
        <v>0</v>
      </c>
      <c r="L82" s="264">
        <v>21</v>
      </c>
      <c r="M82" s="264">
        <v>1</v>
      </c>
      <c r="N82" s="264">
        <v>0</v>
      </c>
      <c r="O82" s="264">
        <v>49</v>
      </c>
    </row>
    <row r="83" spans="1:15" x14ac:dyDescent="0.3">
      <c r="A83" s="261"/>
      <c r="B83" s="25" t="s">
        <v>384</v>
      </c>
      <c r="C83" s="263" t="s">
        <v>369</v>
      </c>
      <c r="D83" s="263" t="s">
        <v>369</v>
      </c>
      <c r="E83" s="264">
        <v>133</v>
      </c>
      <c r="F83" s="264">
        <v>333</v>
      </c>
      <c r="G83" s="264">
        <v>0</v>
      </c>
      <c r="H83" s="264">
        <v>0</v>
      </c>
      <c r="I83" s="264">
        <v>11</v>
      </c>
      <c r="J83" s="264">
        <v>4</v>
      </c>
      <c r="K83" s="264">
        <v>34</v>
      </c>
      <c r="L83" s="264">
        <v>162</v>
      </c>
      <c r="M83" s="264" t="s">
        <v>369</v>
      </c>
      <c r="N83" s="264">
        <v>10</v>
      </c>
      <c r="O83" s="264">
        <v>692</v>
      </c>
    </row>
    <row r="84" spans="1:15" x14ac:dyDescent="0.3">
      <c r="A84" s="261"/>
      <c r="B84" s="25" t="s">
        <v>385</v>
      </c>
      <c r="C84" s="263" t="s">
        <v>369</v>
      </c>
      <c r="D84" s="263" t="s">
        <v>369</v>
      </c>
      <c r="E84" s="264">
        <v>24</v>
      </c>
      <c r="F84" s="264">
        <v>94</v>
      </c>
      <c r="G84" s="264" t="s">
        <v>369</v>
      </c>
      <c r="H84" s="264">
        <v>0</v>
      </c>
      <c r="I84" s="264">
        <v>0</v>
      </c>
      <c r="J84" s="264">
        <v>0</v>
      </c>
      <c r="K84" s="264">
        <v>4</v>
      </c>
      <c r="L84" s="264">
        <v>16</v>
      </c>
      <c r="M84" s="264">
        <v>0</v>
      </c>
      <c r="N84" s="264">
        <v>0</v>
      </c>
      <c r="O84" s="264">
        <v>139</v>
      </c>
    </row>
    <row r="85" spans="1:15" x14ac:dyDescent="0.3">
      <c r="A85" s="261"/>
      <c r="B85" s="25" t="s">
        <v>386</v>
      </c>
      <c r="C85" s="263" t="s">
        <v>369</v>
      </c>
      <c r="D85" s="263" t="s">
        <v>369</v>
      </c>
      <c r="E85" s="264">
        <v>38</v>
      </c>
      <c r="F85" s="264">
        <v>94</v>
      </c>
      <c r="G85" s="264">
        <v>0</v>
      </c>
      <c r="H85" s="264">
        <v>0</v>
      </c>
      <c r="I85" s="264">
        <v>0</v>
      </c>
      <c r="J85" s="264" t="s">
        <v>369</v>
      </c>
      <c r="K85" s="264">
        <v>24</v>
      </c>
      <c r="L85" s="264">
        <v>42</v>
      </c>
      <c r="M85" s="264">
        <v>0</v>
      </c>
      <c r="N85" s="264">
        <v>9</v>
      </c>
      <c r="O85" s="264">
        <v>211</v>
      </c>
    </row>
    <row r="86" spans="1:15" x14ac:dyDescent="0.3">
      <c r="A86" s="261"/>
      <c r="B86" s="25" t="s">
        <v>387</v>
      </c>
      <c r="C86" s="263" t="s">
        <v>369</v>
      </c>
      <c r="D86" s="263" t="s">
        <v>369</v>
      </c>
      <c r="E86" s="264">
        <v>13</v>
      </c>
      <c r="F86" s="264">
        <v>47</v>
      </c>
      <c r="G86" s="264">
        <v>0</v>
      </c>
      <c r="H86" s="264">
        <v>0</v>
      </c>
      <c r="I86" s="264">
        <v>0</v>
      </c>
      <c r="J86" s="264">
        <v>0</v>
      </c>
      <c r="K86" s="264">
        <v>4</v>
      </c>
      <c r="L86" s="264">
        <v>0</v>
      </c>
      <c r="M86" s="264" t="s">
        <v>369</v>
      </c>
      <c r="N86" s="264" t="s">
        <v>369</v>
      </c>
      <c r="O86" s="264">
        <v>71</v>
      </c>
    </row>
    <row r="87" spans="1:15" x14ac:dyDescent="0.3">
      <c r="B87" s="25" t="s">
        <v>388</v>
      </c>
      <c r="C87" s="263" t="s">
        <v>369</v>
      </c>
      <c r="D87" s="263" t="s">
        <v>369</v>
      </c>
      <c r="E87" s="267">
        <v>135</v>
      </c>
      <c r="F87" s="267">
        <v>141</v>
      </c>
      <c r="G87" s="267">
        <v>4</v>
      </c>
      <c r="H87" s="267">
        <v>0</v>
      </c>
      <c r="I87" s="267">
        <v>111</v>
      </c>
      <c r="J87" s="267">
        <v>32</v>
      </c>
      <c r="K87" s="267">
        <v>81</v>
      </c>
      <c r="L87" s="267">
        <v>145</v>
      </c>
      <c r="M87" s="267">
        <v>0</v>
      </c>
      <c r="N87" s="267">
        <v>60</v>
      </c>
      <c r="O87" s="267">
        <v>712</v>
      </c>
    </row>
    <row r="88" spans="1:15" x14ac:dyDescent="0.3">
      <c r="B88" s="25" t="s">
        <v>389</v>
      </c>
      <c r="C88" s="263" t="s">
        <v>369</v>
      </c>
      <c r="D88" s="263" t="s">
        <v>369</v>
      </c>
      <c r="E88" s="267">
        <v>305</v>
      </c>
      <c r="F88" s="267">
        <v>674</v>
      </c>
      <c r="G88" s="267">
        <v>13</v>
      </c>
      <c r="H88" s="267" t="s">
        <v>369</v>
      </c>
      <c r="I88" s="267">
        <v>357</v>
      </c>
      <c r="J88" s="267">
        <v>615</v>
      </c>
      <c r="K88" s="267">
        <v>271</v>
      </c>
      <c r="L88" s="267">
        <v>1322</v>
      </c>
      <c r="M88" s="267">
        <v>5</v>
      </c>
      <c r="N88" s="267">
        <v>19</v>
      </c>
      <c r="O88" s="267">
        <v>3604</v>
      </c>
    </row>
    <row r="89" spans="1:15" x14ac:dyDescent="0.3">
      <c r="B89" s="25" t="s">
        <v>390</v>
      </c>
      <c r="C89" s="263" t="s">
        <v>369</v>
      </c>
      <c r="D89" s="263" t="s">
        <v>369</v>
      </c>
      <c r="E89" s="267">
        <v>387</v>
      </c>
      <c r="F89" s="267">
        <v>721</v>
      </c>
      <c r="G89" s="267">
        <v>4</v>
      </c>
      <c r="H89" s="267">
        <v>0</v>
      </c>
      <c r="I89" s="267">
        <v>33</v>
      </c>
      <c r="J89" s="267">
        <v>4</v>
      </c>
      <c r="K89" s="267">
        <v>15</v>
      </c>
      <c r="L89" s="267">
        <v>136</v>
      </c>
      <c r="M89" s="267" t="s">
        <v>369</v>
      </c>
      <c r="N89" s="267">
        <v>36</v>
      </c>
      <c r="O89" s="267">
        <v>1341</v>
      </c>
    </row>
    <row r="90" spans="1:15" x14ac:dyDescent="0.3">
      <c r="B90" s="25" t="s">
        <v>391</v>
      </c>
      <c r="C90" s="263" t="s">
        <v>369</v>
      </c>
      <c r="D90" s="263" t="s">
        <v>369</v>
      </c>
      <c r="E90" s="267">
        <v>20</v>
      </c>
      <c r="F90" s="267">
        <v>94</v>
      </c>
      <c r="G90" s="267">
        <v>0</v>
      </c>
      <c r="H90" s="267">
        <v>0</v>
      </c>
      <c r="I90" s="267">
        <v>0</v>
      </c>
      <c r="J90" s="267">
        <v>0</v>
      </c>
      <c r="K90" s="267">
        <v>5</v>
      </c>
      <c r="L90" s="267">
        <v>30</v>
      </c>
      <c r="M90" s="267" t="s">
        <v>369</v>
      </c>
      <c r="N90" s="267">
        <v>9</v>
      </c>
      <c r="O90" s="267">
        <v>162</v>
      </c>
    </row>
    <row r="91" spans="1:15" x14ac:dyDescent="0.3">
      <c r="B91" s="25" t="s">
        <v>392</v>
      </c>
      <c r="C91" s="263" t="s">
        <v>369</v>
      </c>
      <c r="D91" s="263" t="s">
        <v>369</v>
      </c>
      <c r="E91" s="267">
        <v>78</v>
      </c>
      <c r="F91" s="267">
        <v>140</v>
      </c>
      <c r="G91" s="267">
        <v>0</v>
      </c>
      <c r="H91" s="267">
        <v>0</v>
      </c>
      <c r="I91" s="267">
        <v>30</v>
      </c>
      <c r="J91" s="267" t="s">
        <v>369</v>
      </c>
      <c r="K91" s="267">
        <v>8</v>
      </c>
      <c r="L91" s="267">
        <v>103</v>
      </c>
      <c r="M91" s="267">
        <v>0</v>
      </c>
      <c r="N91" s="267">
        <v>35</v>
      </c>
      <c r="O91" s="267">
        <v>407</v>
      </c>
    </row>
    <row r="92" spans="1:15" x14ac:dyDescent="0.3">
      <c r="B92" s="25" t="s">
        <v>393</v>
      </c>
      <c r="C92" s="263" t="s">
        <v>369</v>
      </c>
      <c r="D92" s="263" t="s">
        <v>369</v>
      </c>
      <c r="E92" s="267">
        <v>252</v>
      </c>
      <c r="F92" s="267">
        <v>628</v>
      </c>
      <c r="G92" s="267">
        <v>1</v>
      </c>
      <c r="H92" s="267" t="s">
        <v>369</v>
      </c>
      <c r="I92" s="267">
        <v>86</v>
      </c>
      <c r="J92" s="267">
        <v>30</v>
      </c>
      <c r="K92" s="267">
        <v>145</v>
      </c>
      <c r="L92" s="267">
        <v>498</v>
      </c>
      <c r="M92" s="267">
        <v>33</v>
      </c>
      <c r="N92" s="267">
        <v>62</v>
      </c>
      <c r="O92" s="267">
        <v>1745</v>
      </c>
    </row>
    <row r="93" spans="1:15" x14ac:dyDescent="0.3">
      <c r="B93" s="25" t="s">
        <v>394</v>
      </c>
      <c r="C93" s="263" t="s">
        <v>369</v>
      </c>
      <c r="D93" s="263" t="s">
        <v>369</v>
      </c>
      <c r="E93" s="267" t="s">
        <v>369</v>
      </c>
      <c r="F93" s="267">
        <v>47</v>
      </c>
      <c r="G93" s="267">
        <v>4</v>
      </c>
      <c r="H93" s="267">
        <v>0</v>
      </c>
      <c r="I93" s="267">
        <v>12</v>
      </c>
      <c r="J93" s="267">
        <v>4</v>
      </c>
      <c r="K93" s="267">
        <v>0</v>
      </c>
      <c r="L93" s="267">
        <v>25</v>
      </c>
      <c r="M93" s="267">
        <v>0</v>
      </c>
      <c r="N93" s="267">
        <v>23</v>
      </c>
      <c r="O93" s="267">
        <v>122</v>
      </c>
    </row>
    <row r="94" spans="1:15" x14ac:dyDescent="0.3">
      <c r="B94" s="25" t="s">
        <v>395</v>
      </c>
      <c r="C94" s="263" t="s">
        <v>369</v>
      </c>
      <c r="D94" s="263" t="s">
        <v>369</v>
      </c>
      <c r="E94" s="267">
        <v>117</v>
      </c>
      <c r="F94" s="267">
        <v>579</v>
      </c>
      <c r="G94" s="267">
        <v>0</v>
      </c>
      <c r="H94" s="267">
        <v>0</v>
      </c>
      <c r="I94" s="267">
        <v>0</v>
      </c>
      <c r="J94" s="267" t="s">
        <v>369</v>
      </c>
      <c r="K94" s="267">
        <v>9</v>
      </c>
      <c r="L94" s="267">
        <v>69</v>
      </c>
      <c r="M94" s="267">
        <v>0</v>
      </c>
      <c r="N94" s="267">
        <v>12</v>
      </c>
      <c r="O94" s="267">
        <v>790</v>
      </c>
    </row>
    <row r="95" spans="1:15" x14ac:dyDescent="0.3">
      <c r="B95" s="25" t="s">
        <v>396</v>
      </c>
      <c r="C95" s="263" t="s">
        <v>369</v>
      </c>
      <c r="D95" s="263" t="s">
        <v>369</v>
      </c>
      <c r="E95" s="267">
        <v>1997</v>
      </c>
      <c r="F95" s="267">
        <v>5569</v>
      </c>
      <c r="G95" s="267">
        <v>89</v>
      </c>
      <c r="H95" s="267">
        <v>187</v>
      </c>
      <c r="I95" s="267">
        <v>3284</v>
      </c>
      <c r="J95" s="267">
        <v>3684</v>
      </c>
      <c r="K95" s="267">
        <v>2004</v>
      </c>
      <c r="L95" s="267">
        <v>12005</v>
      </c>
      <c r="M95" s="267">
        <v>163</v>
      </c>
      <c r="N95" s="267">
        <v>545</v>
      </c>
      <c r="O95" s="267">
        <v>29688</v>
      </c>
    </row>
    <row r="96" spans="1:15" x14ac:dyDescent="0.3">
      <c r="B96" s="25" t="s">
        <v>397</v>
      </c>
      <c r="C96" s="263" t="s">
        <v>369</v>
      </c>
      <c r="D96" s="263" t="s">
        <v>369</v>
      </c>
      <c r="E96" s="267">
        <v>416</v>
      </c>
      <c r="F96" s="267">
        <v>436</v>
      </c>
      <c r="G96" s="267">
        <v>10</v>
      </c>
      <c r="H96" s="267">
        <v>0</v>
      </c>
      <c r="I96" s="267">
        <v>38</v>
      </c>
      <c r="J96" s="267">
        <v>4</v>
      </c>
      <c r="K96" s="267">
        <v>59</v>
      </c>
      <c r="L96" s="267">
        <v>569</v>
      </c>
      <c r="M96" s="267">
        <v>3</v>
      </c>
      <c r="N96" s="267">
        <v>45</v>
      </c>
      <c r="O96" s="267">
        <v>1707</v>
      </c>
    </row>
    <row r="97" spans="2:15" x14ac:dyDescent="0.3">
      <c r="B97" s="25" t="s">
        <v>398</v>
      </c>
      <c r="C97" s="263" t="s">
        <v>369</v>
      </c>
      <c r="D97" s="263" t="s">
        <v>369</v>
      </c>
      <c r="E97" s="267">
        <v>262</v>
      </c>
      <c r="F97" s="267">
        <v>190</v>
      </c>
      <c r="G97" s="267">
        <v>8</v>
      </c>
      <c r="H97" s="267">
        <v>0</v>
      </c>
      <c r="I97" s="267">
        <v>355</v>
      </c>
      <c r="J97" s="267">
        <v>4</v>
      </c>
      <c r="K97" s="267">
        <v>104</v>
      </c>
      <c r="L97" s="267">
        <v>756</v>
      </c>
      <c r="M97" s="267">
        <v>4</v>
      </c>
      <c r="N97" s="267">
        <v>15</v>
      </c>
      <c r="O97" s="267">
        <v>1701</v>
      </c>
    </row>
    <row r="98" spans="2:15" x14ac:dyDescent="0.3">
      <c r="B98" s="25" t="s">
        <v>399</v>
      </c>
      <c r="C98" s="263" t="s">
        <v>369</v>
      </c>
      <c r="D98" s="263" t="s">
        <v>369</v>
      </c>
      <c r="E98" s="267">
        <v>334</v>
      </c>
      <c r="F98" s="267">
        <v>964</v>
      </c>
      <c r="G98" s="267">
        <v>2</v>
      </c>
      <c r="H98" s="267">
        <v>0</v>
      </c>
      <c r="I98" s="267">
        <v>96</v>
      </c>
      <c r="J98" s="267">
        <v>47</v>
      </c>
      <c r="K98" s="267">
        <v>493</v>
      </c>
      <c r="L98" s="267">
        <v>1269</v>
      </c>
      <c r="M98" s="267">
        <v>19</v>
      </c>
      <c r="N98" s="267">
        <v>52</v>
      </c>
      <c r="O98" s="267">
        <v>3281</v>
      </c>
    </row>
    <row r="99" spans="2:15" x14ac:dyDescent="0.3">
      <c r="B99" s="25" t="s">
        <v>400</v>
      </c>
      <c r="C99" s="263" t="s">
        <v>369</v>
      </c>
      <c r="D99" s="263" t="s">
        <v>369</v>
      </c>
      <c r="E99" s="267" t="s">
        <v>369</v>
      </c>
      <c r="F99" s="267">
        <v>46</v>
      </c>
      <c r="G99" s="267">
        <v>0</v>
      </c>
      <c r="H99" s="267">
        <v>0</v>
      </c>
      <c r="I99" s="267">
        <v>0</v>
      </c>
      <c r="J99" s="267">
        <v>0</v>
      </c>
      <c r="K99" s="267">
        <v>0</v>
      </c>
      <c r="L99" s="267">
        <v>0</v>
      </c>
      <c r="M99" s="267">
        <v>0</v>
      </c>
      <c r="N99" s="267">
        <v>7</v>
      </c>
      <c r="O99" s="267">
        <v>62</v>
      </c>
    </row>
    <row r="100" spans="2:15" x14ac:dyDescent="0.3">
      <c r="B100" s="25" t="s">
        <v>401</v>
      </c>
      <c r="C100" s="263" t="s">
        <v>369</v>
      </c>
      <c r="D100" s="263" t="s">
        <v>369</v>
      </c>
      <c r="E100" s="267">
        <v>256</v>
      </c>
      <c r="F100" s="267">
        <v>286</v>
      </c>
      <c r="G100" s="267">
        <v>1</v>
      </c>
      <c r="H100" s="267">
        <v>0</v>
      </c>
      <c r="I100" s="267">
        <v>959</v>
      </c>
      <c r="J100" s="267">
        <v>894</v>
      </c>
      <c r="K100" s="267">
        <v>49</v>
      </c>
      <c r="L100" s="267">
        <v>742</v>
      </c>
      <c r="M100" s="267">
        <v>6</v>
      </c>
      <c r="N100" s="267">
        <v>21</v>
      </c>
      <c r="O100" s="267">
        <v>3237</v>
      </c>
    </row>
    <row r="101" spans="2:15" x14ac:dyDescent="0.3">
      <c r="B101" s="25" t="s">
        <v>402</v>
      </c>
      <c r="C101" s="263" t="s">
        <v>369</v>
      </c>
      <c r="D101" s="263" t="s">
        <v>369</v>
      </c>
      <c r="E101" s="267">
        <v>69</v>
      </c>
      <c r="F101" s="267">
        <v>191</v>
      </c>
      <c r="G101" s="267">
        <v>3</v>
      </c>
      <c r="H101" s="267">
        <v>0</v>
      </c>
      <c r="I101" s="267">
        <v>4</v>
      </c>
      <c r="J101" s="267">
        <v>0</v>
      </c>
      <c r="K101" s="267">
        <v>19</v>
      </c>
      <c r="L101" s="267">
        <v>431</v>
      </c>
      <c r="M101" s="267">
        <v>0</v>
      </c>
      <c r="N101" s="267">
        <v>7</v>
      </c>
      <c r="O101" s="267">
        <v>728</v>
      </c>
    </row>
    <row r="102" spans="2:15" x14ac:dyDescent="0.3">
      <c r="B102" s="25" t="s">
        <v>403</v>
      </c>
      <c r="C102" s="263" t="s">
        <v>369</v>
      </c>
      <c r="D102" s="263" t="s">
        <v>369</v>
      </c>
      <c r="E102" s="267">
        <v>33</v>
      </c>
      <c r="F102" s="267">
        <v>237</v>
      </c>
      <c r="G102" s="267">
        <v>0</v>
      </c>
      <c r="H102" s="267">
        <v>0</v>
      </c>
      <c r="I102" s="267">
        <v>4</v>
      </c>
      <c r="J102" s="267">
        <v>4</v>
      </c>
      <c r="K102" s="267">
        <v>26</v>
      </c>
      <c r="L102" s="267">
        <v>138</v>
      </c>
      <c r="M102" s="267">
        <v>0</v>
      </c>
      <c r="N102" s="267">
        <v>0</v>
      </c>
      <c r="O102" s="267">
        <v>447</v>
      </c>
    </row>
    <row r="103" spans="2:15" x14ac:dyDescent="0.3">
      <c r="B103" s="25" t="s">
        <v>404</v>
      </c>
      <c r="C103" s="263" t="s">
        <v>369</v>
      </c>
      <c r="D103" s="263" t="s">
        <v>369</v>
      </c>
      <c r="E103" s="267">
        <v>64</v>
      </c>
      <c r="F103" s="267">
        <v>191</v>
      </c>
      <c r="G103" s="267" t="s">
        <v>369</v>
      </c>
      <c r="H103" s="267">
        <v>2</v>
      </c>
      <c r="I103" s="267">
        <v>10</v>
      </c>
      <c r="J103" s="267">
        <v>0</v>
      </c>
      <c r="K103" s="267">
        <v>14</v>
      </c>
      <c r="L103" s="267">
        <v>130</v>
      </c>
      <c r="M103" s="267">
        <v>0</v>
      </c>
      <c r="N103" s="267">
        <v>208</v>
      </c>
      <c r="O103" s="267">
        <v>631</v>
      </c>
    </row>
    <row r="104" spans="2:15" x14ac:dyDescent="0.3">
      <c r="B104" s="25" t="s">
        <v>405</v>
      </c>
      <c r="C104" s="263" t="s">
        <v>369</v>
      </c>
      <c r="D104" s="263" t="s">
        <v>369</v>
      </c>
      <c r="E104" s="267">
        <v>179</v>
      </c>
      <c r="F104" s="267">
        <v>141</v>
      </c>
      <c r="G104" s="267">
        <v>5</v>
      </c>
      <c r="H104" s="267">
        <v>0</v>
      </c>
      <c r="I104" s="267">
        <v>235</v>
      </c>
      <c r="J104" s="267">
        <v>17</v>
      </c>
      <c r="K104" s="267">
        <v>77</v>
      </c>
      <c r="L104" s="267">
        <v>1233</v>
      </c>
      <c r="M104" s="267">
        <v>4</v>
      </c>
      <c r="N104" s="267">
        <v>20</v>
      </c>
      <c r="O104" s="267">
        <v>1915</v>
      </c>
    </row>
    <row r="105" spans="2:15" x14ac:dyDescent="0.3">
      <c r="B105" s="25" t="s">
        <v>406</v>
      </c>
      <c r="C105" s="263" t="s">
        <v>369</v>
      </c>
      <c r="D105" s="263" t="s">
        <v>369</v>
      </c>
      <c r="E105" s="267">
        <v>80</v>
      </c>
      <c r="F105" s="267">
        <v>94</v>
      </c>
      <c r="G105" s="267" t="s">
        <v>369</v>
      </c>
      <c r="H105" s="267">
        <v>0</v>
      </c>
      <c r="I105" s="267">
        <v>84</v>
      </c>
      <c r="J105" s="267">
        <v>0</v>
      </c>
      <c r="K105" s="267">
        <v>88</v>
      </c>
      <c r="L105" s="267">
        <v>122</v>
      </c>
      <c r="M105" s="267">
        <v>0</v>
      </c>
      <c r="N105" s="267">
        <v>53</v>
      </c>
      <c r="O105" s="267">
        <v>530</v>
      </c>
    </row>
    <row r="106" spans="2:15" x14ac:dyDescent="0.3">
      <c r="B106" s="25" t="s">
        <v>407</v>
      </c>
      <c r="C106" s="263" t="s">
        <v>369</v>
      </c>
      <c r="D106" s="263" t="s">
        <v>369</v>
      </c>
      <c r="E106" s="267">
        <v>45</v>
      </c>
      <c r="F106" s="267">
        <v>0</v>
      </c>
      <c r="G106" s="267">
        <v>0</v>
      </c>
      <c r="H106" s="267">
        <v>0</v>
      </c>
      <c r="I106" s="267">
        <v>49</v>
      </c>
      <c r="J106" s="267" t="s">
        <v>369</v>
      </c>
      <c r="K106" s="267">
        <v>5</v>
      </c>
      <c r="L106" s="267">
        <v>71</v>
      </c>
      <c r="M106" s="267" t="s">
        <v>369</v>
      </c>
      <c r="N106" s="267">
        <v>7</v>
      </c>
      <c r="O106" s="267">
        <v>182</v>
      </c>
    </row>
    <row r="107" spans="2:15" x14ac:dyDescent="0.3">
      <c r="B107" s="25" t="s">
        <v>408</v>
      </c>
      <c r="C107" s="263" t="s">
        <v>369</v>
      </c>
      <c r="D107" s="263" t="s">
        <v>369</v>
      </c>
      <c r="E107" s="267">
        <v>147</v>
      </c>
      <c r="F107" s="267">
        <v>915</v>
      </c>
      <c r="G107" s="267" t="s">
        <v>369</v>
      </c>
      <c r="H107" s="267">
        <v>0</v>
      </c>
      <c r="I107" s="267">
        <v>4</v>
      </c>
      <c r="J107" s="267">
        <v>10</v>
      </c>
      <c r="K107" s="267">
        <v>4</v>
      </c>
      <c r="L107" s="267">
        <v>51</v>
      </c>
      <c r="M107" s="267" t="s">
        <v>369</v>
      </c>
      <c r="N107" s="267">
        <v>7</v>
      </c>
      <c r="O107" s="267">
        <v>1143</v>
      </c>
    </row>
    <row r="108" spans="2:15" x14ac:dyDescent="0.3">
      <c r="B108" s="25" t="s">
        <v>409</v>
      </c>
      <c r="C108" s="263" t="s">
        <v>369</v>
      </c>
      <c r="D108" s="263" t="s">
        <v>369</v>
      </c>
      <c r="E108" s="267">
        <v>510</v>
      </c>
      <c r="F108" s="267">
        <v>1011</v>
      </c>
      <c r="G108" s="267">
        <v>8</v>
      </c>
      <c r="H108" s="267">
        <v>0</v>
      </c>
      <c r="I108" s="267">
        <v>168</v>
      </c>
      <c r="J108" s="267">
        <v>68</v>
      </c>
      <c r="K108" s="267">
        <v>177</v>
      </c>
      <c r="L108" s="267">
        <v>403</v>
      </c>
      <c r="M108" s="267">
        <v>15</v>
      </c>
      <c r="N108" s="267">
        <v>21</v>
      </c>
      <c r="O108" s="267">
        <v>2393</v>
      </c>
    </row>
    <row r="109" spans="2:15" x14ac:dyDescent="0.3">
      <c r="B109" s="25" t="s">
        <v>410</v>
      </c>
      <c r="C109" s="263" t="s">
        <v>369</v>
      </c>
      <c r="D109" s="263" t="s">
        <v>369</v>
      </c>
      <c r="E109" s="267">
        <v>188</v>
      </c>
      <c r="F109" s="267">
        <v>487</v>
      </c>
      <c r="G109" s="267">
        <v>0</v>
      </c>
      <c r="H109" s="267">
        <v>0</v>
      </c>
      <c r="I109" s="267">
        <v>40</v>
      </c>
      <c r="J109" s="267">
        <v>29</v>
      </c>
      <c r="K109" s="267">
        <v>61</v>
      </c>
      <c r="L109" s="267">
        <v>552</v>
      </c>
      <c r="M109" s="267" t="s">
        <v>369</v>
      </c>
      <c r="N109" s="267">
        <v>24</v>
      </c>
      <c r="O109" s="267">
        <v>1394</v>
      </c>
    </row>
    <row r="110" spans="2:15" x14ac:dyDescent="0.3">
      <c r="B110" s="25" t="s">
        <v>411</v>
      </c>
      <c r="C110" s="263" t="s">
        <v>369</v>
      </c>
      <c r="D110" s="263" t="s">
        <v>369</v>
      </c>
      <c r="E110" s="267">
        <v>67</v>
      </c>
      <c r="F110" s="267">
        <v>94</v>
      </c>
      <c r="G110" s="267">
        <v>0</v>
      </c>
      <c r="H110" s="267">
        <v>0</v>
      </c>
      <c r="I110" s="267">
        <v>12</v>
      </c>
      <c r="J110" s="267">
        <v>9</v>
      </c>
      <c r="K110" s="267">
        <v>60</v>
      </c>
      <c r="L110" s="267">
        <v>194</v>
      </c>
      <c r="M110" s="267">
        <v>0</v>
      </c>
      <c r="N110" s="267">
        <v>35</v>
      </c>
      <c r="O110" s="267">
        <v>478</v>
      </c>
    </row>
    <row r="111" spans="2:15" x14ac:dyDescent="0.3">
      <c r="B111" s="25" t="s">
        <v>412</v>
      </c>
      <c r="C111" s="263" t="s">
        <v>369</v>
      </c>
      <c r="D111" s="263" t="s">
        <v>369</v>
      </c>
      <c r="E111" s="267">
        <v>35</v>
      </c>
      <c r="F111" s="267">
        <v>290</v>
      </c>
      <c r="G111" s="267">
        <v>0</v>
      </c>
      <c r="H111" s="267">
        <v>0</v>
      </c>
      <c r="I111" s="267">
        <v>0</v>
      </c>
      <c r="J111" s="267">
        <v>0</v>
      </c>
      <c r="K111" s="267">
        <v>0</v>
      </c>
      <c r="L111" s="267">
        <v>28</v>
      </c>
      <c r="M111" s="267" t="s">
        <v>369</v>
      </c>
      <c r="N111" s="267">
        <v>0</v>
      </c>
      <c r="O111" s="267">
        <v>361</v>
      </c>
    </row>
    <row r="112" spans="2:15" x14ac:dyDescent="0.3">
      <c r="B112" s="25" t="s">
        <v>413</v>
      </c>
      <c r="C112" s="263" t="s">
        <v>369</v>
      </c>
      <c r="D112" s="263" t="s">
        <v>369</v>
      </c>
      <c r="E112" s="267">
        <v>47</v>
      </c>
      <c r="F112" s="267">
        <v>237</v>
      </c>
      <c r="G112" s="267">
        <v>0</v>
      </c>
      <c r="H112" s="267">
        <v>0</v>
      </c>
      <c r="I112" s="267">
        <v>8</v>
      </c>
      <c r="J112" s="267" t="s">
        <v>369</v>
      </c>
      <c r="K112" s="267">
        <v>14</v>
      </c>
      <c r="L112" s="267">
        <v>30</v>
      </c>
      <c r="M112" s="267">
        <v>0</v>
      </c>
      <c r="N112" s="267" t="s">
        <v>369</v>
      </c>
      <c r="O112" s="267">
        <v>344</v>
      </c>
    </row>
    <row r="113" spans="2:15" x14ac:dyDescent="0.3">
      <c r="B113" s="25" t="s">
        <v>414</v>
      </c>
      <c r="C113" s="263" t="s">
        <v>369</v>
      </c>
      <c r="D113" s="263" t="s">
        <v>369</v>
      </c>
      <c r="E113" s="267">
        <v>393</v>
      </c>
      <c r="F113" s="267">
        <v>188</v>
      </c>
      <c r="G113" s="267">
        <v>16</v>
      </c>
      <c r="H113" s="267">
        <v>3</v>
      </c>
      <c r="I113" s="267">
        <v>28</v>
      </c>
      <c r="J113" s="267">
        <v>4</v>
      </c>
      <c r="K113" s="267">
        <v>53</v>
      </c>
      <c r="L113" s="267">
        <v>405</v>
      </c>
      <c r="M113" s="267">
        <v>25</v>
      </c>
      <c r="N113" s="267">
        <v>21</v>
      </c>
      <c r="O113" s="267">
        <v>1149</v>
      </c>
    </row>
    <row r="114" spans="2:15" x14ac:dyDescent="0.3">
      <c r="B114" s="25" t="s">
        <v>88</v>
      </c>
      <c r="C114" s="263" t="s">
        <v>369</v>
      </c>
      <c r="D114" s="263" t="s">
        <v>369</v>
      </c>
      <c r="E114" s="267">
        <v>5314</v>
      </c>
      <c r="F114" s="267">
        <v>5467</v>
      </c>
      <c r="G114" s="267">
        <v>83</v>
      </c>
      <c r="H114" s="267">
        <v>0</v>
      </c>
      <c r="I114" s="267">
        <v>562</v>
      </c>
      <c r="J114" s="267">
        <v>765</v>
      </c>
      <c r="K114" s="267">
        <v>1043</v>
      </c>
      <c r="L114" s="267">
        <v>3462</v>
      </c>
      <c r="M114" s="267">
        <v>2866</v>
      </c>
      <c r="N114" s="267">
        <v>698</v>
      </c>
      <c r="O114" s="267">
        <v>20414</v>
      </c>
    </row>
    <row r="115" spans="2:15" x14ac:dyDescent="0.3">
      <c r="C115" s="263"/>
      <c r="D115" s="263"/>
      <c r="E115" s="272"/>
      <c r="F115" s="272"/>
      <c r="G115" s="272"/>
      <c r="H115" s="272"/>
      <c r="I115" s="272"/>
      <c r="J115" s="272"/>
      <c r="K115" s="272"/>
      <c r="L115" s="272"/>
      <c r="M115" s="272"/>
      <c r="N115" s="272"/>
      <c r="O115" s="272"/>
    </row>
    <row r="116" spans="2:15" ht="15" thickBot="1" x14ac:dyDescent="0.35">
      <c r="B116" s="269" t="s">
        <v>415</v>
      </c>
      <c r="C116" s="273">
        <v>812</v>
      </c>
      <c r="D116" s="273">
        <v>692</v>
      </c>
      <c r="E116" s="273">
        <v>22076</v>
      </c>
      <c r="F116" s="273">
        <v>47989</v>
      </c>
      <c r="G116" s="273">
        <v>1069</v>
      </c>
      <c r="H116" s="273">
        <v>199</v>
      </c>
      <c r="I116" s="273">
        <v>10598</v>
      </c>
      <c r="J116" s="273">
        <v>8847</v>
      </c>
      <c r="K116" s="273">
        <v>10731</v>
      </c>
      <c r="L116" s="273">
        <v>43309</v>
      </c>
      <c r="M116" s="273">
        <v>3539</v>
      </c>
      <c r="N116" s="273">
        <v>3167</v>
      </c>
      <c r="O116" s="273">
        <v>153028</v>
      </c>
    </row>
    <row r="118" spans="2:15" x14ac:dyDescent="0.3">
      <c r="B118" s="25" t="s">
        <v>416</v>
      </c>
    </row>
    <row r="119" spans="2:15" x14ac:dyDescent="0.3">
      <c r="B119" s="25" t="s">
        <v>417</v>
      </c>
      <c r="H119" s="25" t="s">
        <v>418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FA5D9-48B4-4615-999E-175DC1F59BA8}">
  <dimension ref="A1:L48"/>
  <sheetViews>
    <sheetView topLeftCell="A18" workbookViewId="0">
      <selection activeCell="O8" sqref="O8"/>
    </sheetView>
  </sheetViews>
  <sheetFormatPr defaultRowHeight="14.4" x14ac:dyDescent="0.3"/>
  <cols>
    <col min="4" max="5" width="8.88671875" style="91"/>
  </cols>
  <sheetData>
    <row r="1" spans="1:8" x14ac:dyDescent="0.3">
      <c r="A1" s="161" t="s">
        <v>264</v>
      </c>
      <c r="B1" s="161" t="s">
        <v>217</v>
      </c>
      <c r="C1" s="161"/>
      <c r="D1" s="161"/>
      <c r="E1" s="161"/>
      <c r="F1" s="161"/>
      <c r="G1" s="161"/>
    </row>
    <row r="2" spans="1:8" x14ac:dyDescent="0.3">
      <c r="A2" s="92" t="s">
        <v>179</v>
      </c>
      <c r="B2" s="161" t="s">
        <v>217</v>
      </c>
      <c r="C2" s="161"/>
      <c r="D2" s="161"/>
      <c r="E2" s="161"/>
      <c r="F2" s="161"/>
      <c r="G2" s="161"/>
    </row>
    <row r="3" spans="1:8" x14ac:dyDescent="0.3">
      <c r="A3" s="994" t="s">
        <v>479</v>
      </c>
      <c r="B3" s="994"/>
      <c r="C3" s="994"/>
      <c r="D3" s="994"/>
      <c r="E3" s="994"/>
      <c r="F3" s="994"/>
      <c r="G3" s="161"/>
    </row>
    <row r="4" spans="1:8" x14ac:dyDescent="0.3">
      <c r="A4" s="161" t="s">
        <v>218</v>
      </c>
      <c r="B4" s="161" t="s">
        <v>217</v>
      </c>
      <c r="C4" s="161"/>
      <c r="D4" s="161"/>
      <c r="E4" s="161"/>
      <c r="F4" s="161"/>
      <c r="G4" s="161"/>
    </row>
    <row r="5" spans="1:8" x14ac:dyDescent="0.3">
      <c r="A5" s="161" t="s">
        <v>219</v>
      </c>
      <c r="B5" s="161" t="s">
        <v>220</v>
      </c>
      <c r="C5" s="161"/>
      <c r="D5" s="161"/>
      <c r="E5" s="161"/>
      <c r="F5" s="161"/>
      <c r="G5" s="161"/>
    </row>
    <row r="6" spans="1:8" x14ac:dyDescent="0.3">
      <c r="A6" s="161" t="s">
        <v>217</v>
      </c>
      <c r="B6" s="161" t="s">
        <v>217</v>
      </c>
      <c r="C6" s="161"/>
      <c r="D6" s="161"/>
      <c r="E6" s="161"/>
      <c r="F6" s="161"/>
      <c r="G6" s="161"/>
    </row>
    <row r="7" spans="1:8" x14ac:dyDescent="0.3">
      <c r="A7" s="161" t="s">
        <v>221</v>
      </c>
      <c r="B7" s="161" t="s">
        <v>43</v>
      </c>
      <c r="C7" s="161" t="s">
        <v>44</v>
      </c>
      <c r="D7" s="161" t="s">
        <v>34</v>
      </c>
      <c r="E7" s="161"/>
      <c r="F7" s="161" t="s">
        <v>45</v>
      </c>
      <c r="G7" s="161" t="s">
        <v>97</v>
      </c>
    </row>
    <row r="8" spans="1:8" x14ac:dyDescent="0.3">
      <c r="A8" s="161" t="s">
        <v>222</v>
      </c>
      <c r="B8" s="160">
        <v>31.13</v>
      </c>
      <c r="C8" s="160">
        <v>42.017000000000003</v>
      </c>
      <c r="D8" s="161">
        <f>B8-C8</f>
        <v>-10.887000000000004</v>
      </c>
      <c r="E8" s="161"/>
      <c r="F8" s="161" t="s">
        <v>223</v>
      </c>
      <c r="G8" s="161" t="s">
        <v>224</v>
      </c>
      <c r="H8" s="91">
        <f t="shared" ref="H8:H46" si="0">F8-G8</f>
        <v>-11.896999999999998</v>
      </c>
    </row>
    <row r="9" spans="1:8" x14ac:dyDescent="0.3">
      <c r="A9" s="161" t="s">
        <v>225</v>
      </c>
      <c r="B9" s="162">
        <v>31.399000000000001</v>
      </c>
      <c r="C9" s="163">
        <v>42.41</v>
      </c>
      <c r="D9" s="161">
        <f t="shared" ref="D9:D47" si="1">B9-C9</f>
        <v>-11.010999999999996</v>
      </c>
      <c r="E9" s="161"/>
      <c r="F9" s="162">
        <v>24.381</v>
      </c>
      <c r="G9" s="162">
        <v>33.881999999999998</v>
      </c>
      <c r="H9" s="91">
        <f t="shared" si="0"/>
        <v>-9.5009999999999977</v>
      </c>
    </row>
    <row r="10" spans="1:8" x14ac:dyDescent="0.3">
      <c r="A10" s="161" t="s">
        <v>226</v>
      </c>
      <c r="B10" s="162">
        <v>32.558999999999997</v>
      </c>
      <c r="C10" s="163">
        <v>43.63</v>
      </c>
      <c r="D10" s="161">
        <f t="shared" si="1"/>
        <v>-11.071000000000005</v>
      </c>
      <c r="E10" s="161"/>
      <c r="F10" s="162">
        <v>23.497</v>
      </c>
      <c r="G10" s="162">
        <v>36.587000000000003</v>
      </c>
      <c r="H10" s="91">
        <f t="shared" si="0"/>
        <v>-13.090000000000003</v>
      </c>
    </row>
    <row r="11" spans="1:8" x14ac:dyDescent="0.3">
      <c r="A11" s="161" t="s">
        <v>227</v>
      </c>
      <c r="B11" s="162">
        <v>33.418999999999997</v>
      </c>
      <c r="C11" s="162">
        <v>44.457000000000001</v>
      </c>
      <c r="D11" s="161">
        <f t="shared" si="1"/>
        <v>-11.038000000000004</v>
      </c>
      <c r="E11" s="161"/>
      <c r="F11" s="162">
        <v>24.606000000000002</v>
      </c>
      <c r="G11" s="162">
        <v>36.651000000000003</v>
      </c>
      <c r="H11" s="91">
        <f t="shared" si="0"/>
        <v>-12.045000000000002</v>
      </c>
    </row>
    <row r="12" spans="1:8" x14ac:dyDescent="0.3">
      <c r="A12" s="161" t="s">
        <v>228</v>
      </c>
      <c r="B12" s="162">
        <v>34.826000000000001</v>
      </c>
      <c r="C12" s="162">
        <v>46.570999999999998</v>
      </c>
      <c r="D12" s="161">
        <f t="shared" si="1"/>
        <v>-11.744999999999997</v>
      </c>
      <c r="E12" s="161"/>
      <c r="F12" s="162">
        <v>25.523</v>
      </c>
      <c r="G12" s="162">
        <v>38.317</v>
      </c>
      <c r="H12" s="91">
        <f t="shared" si="0"/>
        <v>-12.794</v>
      </c>
    </row>
    <row r="13" spans="1:8" x14ac:dyDescent="0.3">
      <c r="A13" s="161" t="s">
        <v>229</v>
      </c>
      <c r="B13" s="162">
        <v>37.366</v>
      </c>
      <c r="C13" s="162">
        <v>48.756</v>
      </c>
      <c r="D13" s="161">
        <f t="shared" si="1"/>
        <v>-11.39</v>
      </c>
      <c r="E13" s="161"/>
      <c r="F13" s="162">
        <v>28.585000000000001</v>
      </c>
      <c r="G13" s="162">
        <v>41.966000000000001</v>
      </c>
      <c r="H13" s="91">
        <f t="shared" si="0"/>
        <v>-13.381</v>
      </c>
    </row>
    <row r="14" spans="1:8" x14ac:dyDescent="0.3">
      <c r="A14" s="161" t="s">
        <v>230</v>
      </c>
      <c r="B14" s="162">
        <v>37.468000000000004</v>
      </c>
      <c r="C14" s="162">
        <v>46.887999999999998</v>
      </c>
      <c r="D14" s="161">
        <f t="shared" si="1"/>
        <v>-9.4199999999999946</v>
      </c>
      <c r="E14" s="161"/>
      <c r="F14" s="162">
        <v>30.202000000000002</v>
      </c>
      <c r="G14" s="162">
        <v>43.369</v>
      </c>
      <c r="H14" s="91">
        <f t="shared" si="0"/>
        <v>-13.166999999999998</v>
      </c>
    </row>
    <row r="15" spans="1:8" x14ac:dyDescent="0.3">
      <c r="A15" s="161" t="s">
        <v>231</v>
      </c>
      <c r="B15" s="162">
        <v>33.151000000000003</v>
      </c>
      <c r="C15" s="162">
        <v>42.536000000000001</v>
      </c>
      <c r="D15" s="161">
        <f t="shared" si="1"/>
        <v>-9.384999999999998</v>
      </c>
      <c r="E15" s="161"/>
      <c r="F15" s="162">
        <v>27.456</v>
      </c>
      <c r="G15" s="164">
        <v>41.2</v>
      </c>
      <c r="H15" s="91">
        <f t="shared" si="0"/>
        <v>-13.744000000000003</v>
      </c>
    </row>
    <row r="16" spans="1:8" x14ac:dyDescent="0.3">
      <c r="A16" s="161" t="s">
        <v>232</v>
      </c>
      <c r="B16" s="162">
        <v>30.988</v>
      </c>
      <c r="C16" s="162">
        <v>40.103999999999999</v>
      </c>
      <c r="D16" s="161">
        <f t="shared" si="1"/>
        <v>-9.1159999999999997</v>
      </c>
      <c r="E16" s="161"/>
      <c r="F16" s="162">
        <v>24.382000000000001</v>
      </c>
      <c r="G16" s="162">
        <v>38.466000000000001</v>
      </c>
      <c r="H16" s="91">
        <f t="shared" si="0"/>
        <v>-14.084</v>
      </c>
    </row>
    <row r="17" spans="1:8" x14ac:dyDescent="0.3">
      <c r="A17" s="161" t="s">
        <v>233</v>
      </c>
      <c r="B17" s="162">
        <v>29.864000000000001</v>
      </c>
      <c r="C17" s="162">
        <v>40.003</v>
      </c>
      <c r="D17" s="161">
        <f t="shared" si="1"/>
        <v>-10.138999999999999</v>
      </c>
      <c r="E17" s="161"/>
      <c r="F17" s="162">
        <v>25.337</v>
      </c>
      <c r="G17" s="162">
        <v>36.677999999999997</v>
      </c>
      <c r="H17" s="91">
        <f t="shared" si="0"/>
        <v>-11.340999999999998</v>
      </c>
    </row>
    <row r="18" spans="1:8" x14ac:dyDescent="0.3">
      <c r="A18" s="161" t="s">
        <v>234</v>
      </c>
      <c r="B18" s="162">
        <v>31.550999999999998</v>
      </c>
      <c r="C18" s="162">
        <v>41.201000000000001</v>
      </c>
      <c r="D18" s="161">
        <f t="shared" si="1"/>
        <v>-9.6500000000000021</v>
      </c>
      <c r="E18" s="161"/>
      <c r="F18" s="162">
        <v>25.701000000000001</v>
      </c>
      <c r="G18" s="162">
        <v>36.585999999999999</v>
      </c>
      <c r="H18" s="91">
        <f t="shared" si="0"/>
        <v>-10.884999999999998</v>
      </c>
    </row>
    <row r="19" spans="1:8" x14ac:dyDescent="0.3">
      <c r="A19" s="161" t="s">
        <v>235</v>
      </c>
      <c r="B19" s="162">
        <v>33.097999999999999</v>
      </c>
      <c r="C19" s="162">
        <v>44.753999999999998</v>
      </c>
      <c r="D19" s="161">
        <f t="shared" si="1"/>
        <v>-11.655999999999999</v>
      </c>
      <c r="E19" s="161"/>
      <c r="F19" s="162">
        <v>28.186</v>
      </c>
      <c r="G19" s="162">
        <v>37.939</v>
      </c>
      <c r="H19" s="91">
        <f t="shared" si="0"/>
        <v>-9.7530000000000001</v>
      </c>
    </row>
    <row r="20" spans="1:8" x14ac:dyDescent="0.3">
      <c r="A20" s="161" t="s">
        <v>236</v>
      </c>
      <c r="B20" s="162">
        <v>34.853000000000002</v>
      </c>
      <c r="C20" s="162">
        <v>45.103999999999999</v>
      </c>
      <c r="D20" s="161">
        <f t="shared" si="1"/>
        <v>-10.250999999999998</v>
      </c>
      <c r="E20" s="161"/>
      <c r="F20" s="162">
        <v>28.175000000000001</v>
      </c>
      <c r="G20" s="164">
        <v>40.799999999999997</v>
      </c>
      <c r="H20" s="91">
        <f t="shared" si="0"/>
        <v>-12.624999999999996</v>
      </c>
    </row>
    <row r="21" spans="1:8" x14ac:dyDescent="0.3">
      <c r="A21" s="161" t="s">
        <v>237</v>
      </c>
      <c r="B21" s="162">
        <v>36.713000000000001</v>
      </c>
      <c r="C21" s="162">
        <v>47.197000000000003</v>
      </c>
      <c r="D21" s="161">
        <f t="shared" si="1"/>
        <v>-10.484000000000002</v>
      </c>
      <c r="E21" s="161"/>
      <c r="F21" s="162">
        <v>31.306999999999999</v>
      </c>
      <c r="G21" s="162">
        <v>43.593000000000004</v>
      </c>
      <c r="H21" s="91">
        <f t="shared" si="0"/>
        <v>-12.286000000000005</v>
      </c>
    </row>
    <row r="22" spans="1:8" x14ac:dyDescent="0.3">
      <c r="A22" s="161" t="s">
        <v>238</v>
      </c>
      <c r="B22" s="162">
        <v>35.006</v>
      </c>
      <c r="C22" s="162">
        <v>47.274000000000001</v>
      </c>
      <c r="D22" s="161">
        <f t="shared" si="1"/>
        <v>-12.268000000000001</v>
      </c>
      <c r="E22" s="161"/>
      <c r="F22" s="162">
        <v>32.863999999999997</v>
      </c>
      <c r="G22" s="162">
        <v>46.024000000000001</v>
      </c>
      <c r="H22" s="91">
        <f t="shared" si="0"/>
        <v>-13.160000000000004</v>
      </c>
    </row>
    <row r="23" spans="1:8" x14ac:dyDescent="0.3">
      <c r="A23" s="161" t="s">
        <v>239</v>
      </c>
      <c r="B23" s="162">
        <v>38.600999999999999</v>
      </c>
      <c r="C23" s="162">
        <v>49.497</v>
      </c>
      <c r="D23" s="161">
        <f t="shared" si="1"/>
        <v>-10.896000000000001</v>
      </c>
      <c r="E23" s="161"/>
      <c r="F23" s="162">
        <v>32.677</v>
      </c>
      <c r="G23" s="161">
        <v>48.091000000000001</v>
      </c>
      <c r="H23" s="91">
        <f t="shared" si="0"/>
        <v>-15.414000000000001</v>
      </c>
    </row>
    <row r="24" spans="1:8" x14ac:dyDescent="0.3">
      <c r="A24" s="161" t="s">
        <v>240</v>
      </c>
      <c r="B24" s="161">
        <v>40.643999999999998</v>
      </c>
      <c r="C24" s="161">
        <v>49.936</v>
      </c>
      <c r="D24" s="161">
        <f t="shared" si="1"/>
        <v>-9.2920000000000016</v>
      </c>
      <c r="E24" s="161"/>
      <c r="F24" s="161">
        <v>36.276000000000003</v>
      </c>
      <c r="G24" s="161">
        <v>47.055999999999997</v>
      </c>
      <c r="H24" s="91">
        <f t="shared" si="0"/>
        <v>-10.779999999999994</v>
      </c>
    </row>
    <row r="25" spans="1:8" x14ac:dyDescent="0.3">
      <c r="A25" s="161" t="s">
        <v>241</v>
      </c>
      <c r="B25" s="161">
        <v>42.475999999999999</v>
      </c>
      <c r="C25" s="161">
        <v>50.268000000000001</v>
      </c>
      <c r="D25" s="161">
        <f t="shared" si="1"/>
        <v>-7.7920000000000016</v>
      </c>
      <c r="E25" s="161"/>
      <c r="F25" s="161">
        <v>34.369</v>
      </c>
      <c r="G25" s="161">
        <v>49.213999999999999</v>
      </c>
      <c r="H25" s="91">
        <f t="shared" si="0"/>
        <v>-14.844999999999999</v>
      </c>
    </row>
    <row r="26" spans="1:8" x14ac:dyDescent="0.3">
      <c r="A26" s="161" t="s">
        <v>242</v>
      </c>
      <c r="B26" s="161">
        <v>40.941000000000003</v>
      </c>
      <c r="C26" s="161">
        <v>52.408999999999999</v>
      </c>
      <c r="D26" s="161">
        <f t="shared" si="1"/>
        <v>-11.467999999999996</v>
      </c>
      <c r="E26" s="161"/>
      <c r="F26" s="161">
        <v>34.89</v>
      </c>
      <c r="G26" s="161">
        <v>51.326999999999998</v>
      </c>
      <c r="H26" s="91">
        <f t="shared" si="0"/>
        <v>-16.436999999999998</v>
      </c>
    </row>
    <row r="27" spans="1:8" x14ac:dyDescent="0.3">
      <c r="A27" s="161" t="s">
        <v>243</v>
      </c>
      <c r="B27" s="161">
        <v>41.024000000000001</v>
      </c>
      <c r="C27" s="161">
        <v>51.942</v>
      </c>
      <c r="D27" s="161">
        <f t="shared" si="1"/>
        <v>-10.917999999999999</v>
      </c>
      <c r="E27" s="161"/>
      <c r="F27" s="161">
        <v>37.551000000000002</v>
      </c>
      <c r="G27" s="161">
        <v>50.973999999999997</v>
      </c>
      <c r="H27" s="91">
        <f t="shared" si="0"/>
        <v>-13.422999999999995</v>
      </c>
    </row>
    <row r="28" spans="1:8" x14ac:dyDescent="0.3">
      <c r="A28" s="161" t="s">
        <v>244</v>
      </c>
      <c r="B28" s="161">
        <v>39.344999999999999</v>
      </c>
      <c r="C28" s="161">
        <v>52.713999999999999</v>
      </c>
      <c r="D28" s="161">
        <f t="shared" si="1"/>
        <v>-13.369</v>
      </c>
      <c r="E28" s="161"/>
      <c r="F28" s="161">
        <v>38.72</v>
      </c>
      <c r="G28" s="161">
        <v>50.747999999999998</v>
      </c>
      <c r="H28" s="91">
        <f t="shared" si="0"/>
        <v>-12.027999999999999</v>
      </c>
    </row>
    <row r="29" spans="1:8" x14ac:dyDescent="0.3">
      <c r="A29" s="161" t="s">
        <v>245</v>
      </c>
      <c r="B29" s="161">
        <v>37.055999999999997</v>
      </c>
      <c r="C29" s="161">
        <v>51.942999999999998</v>
      </c>
      <c r="D29" s="161">
        <f t="shared" si="1"/>
        <v>-14.887</v>
      </c>
      <c r="E29" s="161"/>
      <c r="F29" s="161">
        <v>36.865000000000002</v>
      </c>
      <c r="G29" s="161">
        <v>51.372</v>
      </c>
      <c r="H29" s="91">
        <f t="shared" si="0"/>
        <v>-14.506999999999998</v>
      </c>
    </row>
    <row r="30" spans="1:8" x14ac:dyDescent="0.3">
      <c r="A30" s="161" t="s">
        <v>246</v>
      </c>
      <c r="B30" s="161">
        <v>37.564999999999998</v>
      </c>
      <c r="C30" s="161">
        <v>52.271000000000001</v>
      </c>
      <c r="D30" s="161">
        <f t="shared" si="1"/>
        <v>-14.706000000000003</v>
      </c>
      <c r="E30" s="161"/>
      <c r="F30" s="161">
        <v>38.549999999999997</v>
      </c>
      <c r="G30" s="161">
        <v>50.587000000000003</v>
      </c>
      <c r="H30" s="91">
        <f t="shared" si="0"/>
        <v>-12.037000000000006</v>
      </c>
    </row>
    <row r="31" spans="1:8" x14ac:dyDescent="0.3">
      <c r="A31" s="161" t="s">
        <v>247</v>
      </c>
      <c r="B31" s="161">
        <v>36.719000000000001</v>
      </c>
      <c r="C31" s="161">
        <v>52.110999999999997</v>
      </c>
      <c r="D31" s="161">
        <f t="shared" si="1"/>
        <v>-15.391999999999996</v>
      </c>
      <c r="E31" s="161"/>
      <c r="F31" s="161">
        <v>36.801000000000002</v>
      </c>
      <c r="G31" s="161">
        <v>50.781999999999996</v>
      </c>
      <c r="H31" s="91">
        <f t="shared" si="0"/>
        <v>-13.980999999999995</v>
      </c>
    </row>
    <row r="32" spans="1:8" x14ac:dyDescent="0.3">
      <c r="A32" s="161" t="s">
        <v>248</v>
      </c>
      <c r="B32" s="161">
        <v>38.082000000000001</v>
      </c>
      <c r="C32" s="161">
        <v>53.777999999999999</v>
      </c>
      <c r="D32" s="161">
        <f t="shared" si="1"/>
        <v>-15.695999999999998</v>
      </c>
      <c r="E32" s="161"/>
      <c r="F32" s="161">
        <v>36.981000000000002</v>
      </c>
      <c r="G32" s="161">
        <v>49.624000000000002</v>
      </c>
      <c r="H32" s="91">
        <f t="shared" si="0"/>
        <v>-12.643000000000001</v>
      </c>
    </row>
    <row r="33" spans="1:12" x14ac:dyDescent="0.3">
      <c r="A33" s="161" t="s">
        <v>249</v>
      </c>
      <c r="B33" s="161">
        <v>37.965000000000003</v>
      </c>
      <c r="C33" s="161">
        <v>54.692999999999998</v>
      </c>
      <c r="D33" s="161">
        <f t="shared" si="1"/>
        <v>-16.727999999999994</v>
      </c>
      <c r="E33" s="161"/>
      <c r="F33" s="161">
        <v>39.649000000000001</v>
      </c>
      <c r="G33" s="161">
        <v>52.148000000000003</v>
      </c>
      <c r="H33" s="91">
        <f t="shared" si="0"/>
        <v>-12.499000000000002</v>
      </c>
    </row>
    <row r="34" spans="1:12" x14ac:dyDescent="0.3">
      <c r="A34" s="161" t="s">
        <v>250</v>
      </c>
      <c r="B34" s="161">
        <v>39.027999999999999</v>
      </c>
      <c r="C34" s="161">
        <v>56.222999999999999</v>
      </c>
      <c r="D34" s="161">
        <f t="shared" si="1"/>
        <v>-17.195</v>
      </c>
      <c r="E34" s="161"/>
      <c r="F34" s="161">
        <v>37.901000000000003</v>
      </c>
      <c r="G34" s="161">
        <v>50.125999999999998</v>
      </c>
      <c r="H34" s="91">
        <f t="shared" si="0"/>
        <v>-12.224999999999994</v>
      </c>
    </row>
    <row r="35" spans="1:12" x14ac:dyDescent="0.3">
      <c r="A35" s="161" t="s">
        <v>251</v>
      </c>
      <c r="B35" s="161">
        <v>36.180999999999997</v>
      </c>
      <c r="C35" s="161">
        <v>55.97</v>
      </c>
      <c r="D35" s="161">
        <f t="shared" si="1"/>
        <v>-19.789000000000001</v>
      </c>
      <c r="E35" s="161"/>
      <c r="F35" s="161">
        <v>37.36</v>
      </c>
      <c r="G35" s="161">
        <v>51.249000000000002</v>
      </c>
      <c r="H35" s="91">
        <f t="shared" si="0"/>
        <v>-13.889000000000003</v>
      </c>
    </row>
    <row r="36" spans="1:12" x14ac:dyDescent="0.3">
      <c r="A36" s="161" t="s">
        <v>252</v>
      </c>
      <c r="B36" s="161">
        <v>37.06</v>
      </c>
      <c r="C36" s="161">
        <v>55.756999999999998</v>
      </c>
      <c r="D36" s="161">
        <f t="shared" si="1"/>
        <v>-18.696999999999996</v>
      </c>
      <c r="E36" s="161"/>
      <c r="F36" s="161">
        <v>36.048999999999999</v>
      </c>
      <c r="G36" s="161">
        <v>46.305</v>
      </c>
      <c r="H36" s="91">
        <f t="shared" si="0"/>
        <v>-10.256</v>
      </c>
    </row>
    <row r="37" spans="1:12" x14ac:dyDescent="0.3">
      <c r="A37" s="161" t="s">
        <v>253</v>
      </c>
      <c r="B37" s="161">
        <v>37.265999999999998</v>
      </c>
      <c r="C37" s="161">
        <v>55.997999999999998</v>
      </c>
      <c r="D37" s="161">
        <f t="shared" si="1"/>
        <v>-18.731999999999999</v>
      </c>
      <c r="E37" s="161"/>
      <c r="F37" s="161">
        <v>36.197000000000003</v>
      </c>
      <c r="G37" s="161">
        <v>46.863999999999997</v>
      </c>
      <c r="H37" s="91">
        <f t="shared" si="0"/>
        <v>-10.666999999999994</v>
      </c>
    </row>
    <row r="38" spans="1:12" x14ac:dyDescent="0.3">
      <c r="A38" s="161" t="s">
        <v>254</v>
      </c>
      <c r="B38" s="161">
        <v>35.728000000000002</v>
      </c>
      <c r="C38" s="161">
        <v>56.043999999999997</v>
      </c>
      <c r="D38" s="161">
        <f t="shared" si="1"/>
        <v>-20.315999999999995</v>
      </c>
      <c r="E38" s="161"/>
      <c r="F38" s="161">
        <v>36.595999999999997</v>
      </c>
      <c r="G38" s="161">
        <v>47.445</v>
      </c>
      <c r="H38" s="91">
        <f t="shared" si="0"/>
        <v>-10.849000000000004</v>
      </c>
    </row>
    <row r="39" spans="1:12" x14ac:dyDescent="0.3">
      <c r="A39" s="161" t="s">
        <v>255</v>
      </c>
      <c r="B39" s="161">
        <v>35.417999999999999</v>
      </c>
      <c r="C39" s="161">
        <v>56.935000000000002</v>
      </c>
      <c r="D39" s="161">
        <f t="shared" si="1"/>
        <v>-21.517000000000003</v>
      </c>
      <c r="E39" s="161"/>
      <c r="F39" s="161">
        <v>38.58</v>
      </c>
      <c r="G39" s="161">
        <v>50.121000000000002</v>
      </c>
      <c r="H39" s="91">
        <f t="shared" si="0"/>
        <v>-11.541000000000004</v>
      </c>
    </row>
    <row r="40" spans="1:12" x14ac:dyDescent="0.3">
      <c r="A40" s="161" t="s">
        <v>256</v>
      </c>
      <c r="B40" s="161">
        <v>33.509</v>
      </c>
      <c r="C40" s="161">
        <v>56.604999999999997</v>
      </c>
      <c r="D40" s="161">
        <f t="shared" si="1"/>
        <v>-23.095999999999997</v>
      </c>
      <c r="E40" s="161"/>
      <c r="F40" s="161">
        <v>38.218000000000004</v>
      </c>
      <c r="G40" s="161">
        <v>49.579000000000001</v>
      </c>
      <c r="H40" s="91">
        <f t="shared" si="0"/>
        <v>-11.360999999999997</v>
      </c>
    </row>
    <row r="41" spans="1:12" x14ac:dyDescent="0.3">
      <c r="A41" s="161" t="s">
        <v>257</v>
      </c>
      <c r="B41" s="161">
        <v>34.32</v>
      </c>
      <c r="C41" s="161">
        <v>55.793999999999997</v>
      </c>
      <c r="D41" s="161">
        <f t="shared" si="1"/>
        <v>-21.473999999999997</v>
      </c>
      <c r="E41" s="161"/>
      <c r="F41" s="161">
        <v>39.988999999999997</v>
      </c>
      <c r="G41" s="161">
        <v>45.844999999999999</v>
      </c>
      <c r="H41" s="91">
        <f t="shared" si="0"/>
        <v>-5.8560000000000016</v>
      </c>
    </row>
    <row r="42" spans="1:12" x14ac:dyDescent="0.3">
      <c r="A42" s="161" t="s">
        <v>258</v>
      </c>
      <c r="B42" s="161">
        <v>33.423000000000002</v>
      </c>
      <c r="C42" s="161">
        <v>54.832000000000001</v>
      </c>
      <c r="D42" s="161">
        <f t="shared" si="1"/>
        <v>-21.408999999999999</v>
      </c>
      <c r="E42" s="161"/>
      <c r="F42" s="161">
        <v>37.204000000000001</v>
      </c>
      <c r="G42" s="161">
        <v>44.603000000000002</v>
      </c>
      <c r="H42" s="91">
        <f t="shared" si="0"/>
        <v>-7.3990000000000009</v>
      </c>
    </row>
    <row r="43" spans="1:12" x14ac:dyDescent="0.3">
      <c r="A43" s="161" t="s">
        <v>259</v>
      </c>
      <c r="B43" s="161">
        <v>32.704999999999998</v>
      </c>
      <c r="C43" s="161">
        <v>55.680999999999997</v>
      </c>
      <c r="D43" s="161">
        <f t="shared" si="1"/>
        <v>-22.975999999999999</v>
      </c>
      <c r="E43" s="161"/>
      <c r="F43" s="161">
        <v>38.216000000000001</v>
      </c>
      <c r="G43" s="161">
        <v>44.365000000000002</v>
      </c>
      <c r="H43" s="91">
        <f t="shared" si="0"/>
        <v>-6.1490000000000009</v>
      </c>
    </row>
    <row r="44" spans="1:12" x14ac:dyDescent="0.3">
      <c r="A44" s="161" t="s">
        <v>260</v>
      </c>
      <c r="B44" s="161">
        <v>33.372</v>
      </c>
      <c r="C44" s="161">
        <v>57.314</v>
      </c>
      <c r="D44" s="161">
        <f t="shared" si="1"/>
        <v>-23.942</v>
      </c>
      <c r="E44" s="161"/>
      <c r="F44" s="161">
        <v>36.908999999999999</v>
      </c>
      <c r="G44" s="161">
        <v>45.097999999999999</v>
      </c>
      <c r="H44" s="91">
        <f t="shared" si="0"/>
        <v>-8.1890000000000001</v>
      </c>
    </row>
    <row r="45" spans="1:12" x14ac:dyDescent="0.3">
      <c r="A45" s="161" t="s">
        <v>261</v>
      </c>
      <c r="B45" s="161">
        <v>35.68</v>
      </c>
      <c r="C45" s="161">
        <v>58.814</v>
      </c>
      <c r="D45" s="161">
        <f t="shared" si="1"/>
        <v>-23.134</v>
      </c>
      <c r="E45" s="161"/>
      <c r="F45" s="161">
        <v>39.173999999999999</v>
      </c>
      <c r="G45" s="161">
        <v>47.045000000000002</v>
      </c>
      <c r="H45" s="91">
        <f t="shared" si="0"/>
        <v>-7.8710000000000022</v>
      </c>
    </row>
    <row r="46" spans="1:12" x14ac:dyDescent="0.3">
      <c r="A46" s="161" t="s">
        <v>262</v>
      </c>
      <c r="B46" s="161">
        <v>37.042000000000002</v>
      </c>
      <c r="C46" s="161">
        <v>61.093000000000004</v>
      </c>
      <c r="D46" s="161">
        <f t="shared" si="1"/>
        <v>-24.051000000000002</v>
      </c>
      <c r="E46" s="161"/>
      <c r="F46" s="161">
        <v>37.363999999999997</v>
      </c>
      <c r="G46" s="161">
        <v>52.552999999999997</v>
      </c>
      <c r="H46" s="91">
        <f t="shared" si="0"/>
        <v>-15.189</v>
      </c>
    </row>
    <row r="47" spans="1:12" x14ac:dyDescent="0.3">
      <c r="A47" s="161" t="s">
        <v>263</v>
      </c>
      <c r="B47" s="161">
        <v>38.33</v>
      </c>
      <c r="C47" s="161">
        <v>63.613</v>
      </c>
      <c r="D47" s="161">
        <f t="shared" si="1"/>
        <v>-25.283000000000001</v>
      </c>
      <c r="E47" s="161"/>
      <c r="F47" s="161">
        <v>43.834000000000003</v>
      </c>
      <c r="G47" s="161">
        <v>51.05</v>
      </c>
      <c r="H47">
        <f>F47-G47</f>
        <v>-7.215999999999994</v>
      </c>
      <c r="K47">
        <f>SUM(B44:B47)</f>
        <v>144.42399999999998</v>
      </c>
      <c r="L47">
        <f>SUM(F44:F47)</f>
        <v>157.28100000000001</v>
      </c>
    </row>
    <row r="48" spans="1:12" x14ac:dyDescent="0.3">
      <c r="B48" s="91">
        <f>SUM(B44:B47)</f>
        <v>144.42399999999998</v>
      </c>
      <c r="C48">
        <f>SUM(C44:C47)</f>
        <v>240.834</v>
      </c>
      <c r="F48">
        <f>SUM(F44:F47)</f>
        <v>157.28100000000001</v>
      </c>
      <c r="G48">
        <f>SUM(G44:G47)</f>
        <v>195.74599999999998</v>
      </c>
    </row>
  </sheetData>
  <mergeCells count="1">
    <mergeCell ref="A3:F3"/>
  </mergeCells>
  <hyperlinks>
    <hyperlink ref="A2" r:id="rId1" xr:uid="{87F10DB0-D392-4C3D-AAF1-D327041F0B2A}"/>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57B93-F7F8-49E7-A097-C379BC30B7E8}">
  <dimension ref="A1:CS79"/>
  <sheetViews>
    <sheetView workbookViewId="0"/>
  </sheetViews>
  <sheetFormatPr defaultRowHeight="14.4" x14ac:dyDescent="0.3"/>
  <cols>
    <col min="1" max="1" width="41.44140625" style="899" customWidth="1"/>
    <col min="2" max="2" width="13.77734375" style="899" customWidth="1"/>
    <col min="3" max="3" width="13.6640625" style="899" bestFit="1" customWidth="1"/>
    <col min="4" max="4" width="12.77734375" style="899" customWidth="1"/>
    <col min="5" max="5" width="18.5546875" style="899" customWidth="1"/>
    <col min="6" max="6" width="13.33203125" style="899" customWidth="1"/>
    <col min="7" max="7" width="16.5546875" style="899" customWidth="1"/>
    <col min="8" max="8" width="15.5546875" style="899" customWidth="1"/>
    <col min="9" max="9" width="11.44140625" style="899" customWidth="1"/>
    <col min="10" max="20" width="13.77734375" style="899" bestFit="1" customWidth="1"/>
    <col min="21" max="21" width="11.6640625" style="899" customWidth="1"/>
    <col min="22" max="22" width="14.109375" style="899" customWidth="1"/>
    <col min="23" max="24" width="12.33203125" style="899" customWidth="1"/>
    <col min="25" max="25" width="11.6640625" style="899" bestFit="1" customWidth="1"/>
    <col min="26" max="26" width="8.88671875" style="899"/>
    <col min="27" max="27" width="27.6640625" style="899" customWidth="1"/>
    <col min="28" max="28" width="13.5546875" style="899" bestFit="1" customWidth="1"/>
    <col min="29" max="44" width="11.33203125" style="899" bestFit="1" customWidth="1"/>
    <col min="45" max="16384" width="8.88671875" style="899"/>
  </cols>
  <sheetData>
    <row r="1" spans="1:28" s="156" customFormat="1" ht="44.4" customHeight="1" x14ac:dyDescent="0.4">
      <c r="A1" s="946" t="s">
        <v>987</v>
      </c>
    </row>
    <row r="2" spans="1:28" ht="18" x14ac:dyDescent="0.35">
      <c r="A2" s="95"/>
      <c r="B2" s="83"/>
      <c r="C2" s="846"/>
    </row>
    <row r="3" spans="1:28" ht="25.2" customHeight="1" x14ac:dyDescent="0.3"/>
    <row r="4" spans="1:28" s="846" customFormat="1" ht="20.399999999999999" customHeight="1" thickBot="1" x14ac:dyDescent="0.35">
      <c r="A4" s="846" t="s">
        <v>704</v>
      </c>
    </row>
    <row r="5" spans="1:28" s="844" customFormat="1" ht="45.6" customHeight="1" x14ac:dyDescent="0.3">
      <c r="A5" s="634" t="s">
        <v>703</v>
      </c>
      <c r="B5" s="486" t="s">
        <v>705</v>
      </c>
      <c r="C5" s="486" t="s">
        <v>706</v>
      </c>
      <c r="D5" s="486" t="s">
        <v>701</v>
      </c>
      <c r="E5" s="486" t="s">
        <v>707</v>
      </c>
      <c r="F5" s="487" t="s">
        <v>753</v>
      </c>
      <c r="G5" s="631" t="s">
        <v>702</v>
      </c>
      <c r="H5" s="630" t="s">
        <v>698</v>
      </c>
    </row>
    <row r="6" spans="1:28" x14ac:dyDescent="0.3">
      <c r="A6" s="454" t="s">
        <v>989</v>
      </c>
      <c r="B6" s="136">
        <f>SUM(C17:E17)/3</f>
        <v>291.76616964470003</v>
      </c>
      <c r="C6" s="151">
        <f>SUM(T17:V17)/3</f>
        <v>395.37036017457649</v>
      </c>
      <c r="D6" s="139">
        <f>(C6-B6)</f>
        <v>103.60419052987646</v>
      </c>
      <c r="E6" s="466">
        <f>D6/B6</f>
        <v>0.35509322638755919</v>
      </c>
      <c r="F6" s="490">
        <f>((C6/B6)^(1/17))-1</f>
        <v>1.8035429743883613E-2</v>
      </c>
      <c r="G6" s="632">
        <f>SUM(C17:L17)/10</f>
        <v>334.73082638611373</v>
      </c>
      <c r="H6" s="492">
        <f>SUM(M17:V17)/10</f>
        <v>364.21458959478707</v>
      </c>
      <c r="I6" s="844"/>
      <c r="J6" s="844"/>
      <c r="K6" s="497"/>
      <c r="L6" s="844"/>
      <c r="M6" s="116"/>
      <c r="N6" s="844"/>
      <c r="O6" s="114"/>
      <c r="P6" s="844"/>
      <c r="Q6" s="844"/>
      <c r="R6" s="114"/>
    </row>
    <row r="7" spans="1:28" x14ac:dyDescent="0.3">
      <c r="A7" s="454" t="s">
        <v>990</v>
      </c>
      <c r="B7" s="136">
        <f>SUM(C18:E18)/3</f>
        <v>217.54600099066235</v>
      </c>
      <c r="C7" s="151">
        <f>SUM(T18:V18)/3</f>
        <v>364.77191090963169</v>
      </c>
      <c r="D7" s="139">
        <f>(C7-B7)</f>
        <v>147.22590991896934</v>
      </c>
      <c r="E7" s="466">
        <f>D7/B7</f>
        <v>0.67675760183377798</v>
      </c>
      <c r="F7" s="490">
        <f>((C7/B7)^(1/17))-1</f>
        <v>3.0870553587721616E-2</v>
      </c>
      <c r="G7" s="632">
        <f>SUM(C18:L18)/10</f>
        <v>247.2712145352356</v>
      </c>
      <c r="H7" s="493">
        <f>SUM(M18:V18)/10</f>
        <v>335.12444670922179</v>
      </c>
      <c r="M7" s="9"/>
      <c r="O7" s="11"/>
      <c r="R7" s="11"/>
    </row>
    <row r="8" spans="1:28" x14ac:dyDescent="0.3">
      <c r="B8" s="469"/>
      <c r="C8" s="469"/>
      <c r="U8" s="10"/>
      <c r="AB8" s="22"/>
    </row>
    <row r="9" spans="1:28" ht="18" x14ac:dyDescent="0.35">
      <c r="A9" s="95" t="s">
        <v>689</v>
      </c>
      <c r="U9" s="10"/>
      <c r="AB9" s="22"/>
    </row>
    <row r="10" spans="1:28" x14ac:dyDescent="0.3">
      <c r="A10" s="498" t="s">
        <v>690</v>
      </c>
      <c r="U10" s="10"/>
      <c r="AB10" s="22"/>
    </row>
    <row r="11" spans="1:28" ht="13.2" customHeight="1" x14ac:dyDescent="0.3">
      <c r="A11" s="45" t="s">
        <v>173</v>
      </c>
      <c r="U11" s="10"/>
      <c r="AB11" s="22"/>
    </row>
    <row r="16" spans="1:28" s="110" customFormat="1" x14ac:dyDescent="0.3">
      <c r="A16" s="109" t="s">
        <v>48</v>
      </c>
      <c r="B16" s="105" t="s">
        <v>0</v>
      </c>
      <c r="C16" s="105" t="s">
        <v>1</v>
      </c>
      <c r="D16" s="105" t="s">
        <v>2</v>
      </c>
      <c r="E16" s="105" t="s">
        <v>3</v>
      </c>
      <c r="F16" s="105" t="s">
        <v>4</v>
      </c>
      <c r="G16" s="105" t="s">
        <v>5</v>
      </c>
      <c r="H16" s="105" t="s">
        <v>6</v>
      </c>
      <c r="I16" s="105" t="s">
        <v>7</v>
      </c>
      <c r="J16" s="105" t="s">
        <v>8</v>
      </c>
      <c r="K16" s="105" t="s">
        <v>9</v>
      </c>
      <c r="L16" s="105" t="s">
        <v>10</v>
      </c>
      <c r="M16" s="105" t="s">
        <v>11</v>
      </c>
      <c r="N16" s="105" t="s">
        <v>12</v>
      </c>
      <c r="O16" s="105" t="s">
        <v>13</v>
      </c>
      <c r="P16" s="105" t="s">
        <v>14</v>
      </c>
      <c r="Q16" s="105" t="s">
        <v>15</v>
      </c>
      <c r="R16" s="105" t="s">
        <v>16</v>
      </c>
      <c r="S16" s="105" t="s">
        <v>17</v>
      </c>
      <c r="T16" s="105" t="s">
        <v>18</v>
      </c>
      <c r="U16" s="105" t="s">
        <v>525</v>
      </c>
      <c r="V16" s="105" t="s">
        <v>688</v>
      </c>
    </row>
    <row r="17" spans="1:96" x14ac:dyDescent="0.3">
      <c r="A17" s="31" t="s">
        <v>988</v>
      </c>
      <c r="B17" s="150">
        <f>B30</f>
        <v>267.38330638798931</v>
      </c>
      <c r="C17" s="150">
        <f t="shared" ref="C17:V17" si="0">C30</f>
        <v>276.41306261767056</v>
      </c>
      <c r="D17" s="150">
        <f t="shared" si="0"/>
        <v>293.09247246022028</v>
      </c>
      <c r="E17" s="150">
        <f t="shared" si="0"/>
        <v>305.79297385620919</v>
      </c>
      <c r="F17" s="150">
        <f t="shared" si="0"/>
        <v>327.53363482193333</v>
      </c>
      <c r="G17" s="150">
        <f t="shared" si="0"/>
        <v>321.28616385291775</v>
      </c>
      <c r="H17" s="150">
        <f t="shared" si="0"/>
        <v>331.7755797539827</v>
      </c>
      <c r="I17" s="150">
        <f t="shared" si="0"/>
        <v>352.00709640938646</v>
      </c>
      <c r="J17" s="150">
        <f t="shared" si="0"/>
        <v>414.8577995916657</v>
      </c>
      <c r="K17" s="150">
        <f t="shared" si="0"/>
        <v>366.01063264221159</v>
      </c>
      <c r="L17" s="150">
        <f t="shared" si="0"/>
        <v>358.53884785493955</v>
      </c>
      <c r="M17" s="150">
        <f t="shared" si="0"/>
        <v>311.78888945465656</v>
      </c>
      <c r="N17" s="150">
        <f t="shared" si="0"/>
        <v>341.87276292532033</v>
      </c>
      <c r="O17" s="150">
        <f t="shared" si="0"/>
        <v>355.27822185369803</v>
      </c>
      <c r="P17" s="150">
        <f t="shared" si="0"/>
        <v>351.88372453327139</v>
      </c>
      <c r="Q17" s="150">
        <f t="shared" si="0"/>
        <v>354.77745297489685</v>
      </c>
      <c r="R17" s="150">
        <f t="shared" si="0"/>
        <v>368.97997479930012</v>
      </c>
      <c r="S17" s="150">
        <f t="shared" si="0"/>
        <v>371.45378888299751</v>
      </c>
      <c r="T17" s="150">
        <f t="shared" si="0"/>
        <v>379.77200000000005</v>
      </c>
      <c r="U17" s="150">
        <f t="shared" si="0"/>
        <v>401.8150573777898</v>
      </c>
      <c r="V17" s="150">
        <f t="shared" si="0"/>
        <v>404.52402314593951</v>
      </c>
      <c r="X17" s="150">
        <f>SUM(T17:V17)/3</f>
        <v>395.37036017457649</v>
      </c>
    </row>
    <row r="18" spans="1:96" x14ac:dyDescent="0.3">
      <c r="A18" s="31" t="s">
        <v>991</v>
      </c>
      <c r="B18" s="150">
        <f>B36</f>
        <v>189.32510613424694</v>
      </c>
      <c r="C18" s="150">
        <f t="shared" ref="C18:V18" si="1">C36</f>
        <v>196.18328840970352</v>
      </c>
      <c r="D18" s="150">
        <f t="shared" si="1"/>
        <v>228.86958384332925</v>
      </c>
      <c r="E18" s="150">
        <f t="shared" si="1"/>
        <v>227.58513071895425</v>
      </c>
      <c r="F18" s="150">
        <f t="shared" si="1"/>
        <v>218.70626603470015</v>
      </c>
      <c r="G18" s="150">
        <f t="shared" si="1"/>
        <v>226.83402608335362</v>
      </c>
      <c r="H18" s="150">
        <f t="shared" si="1"/>
        <v>243.26380822746523</v>
      </c>
      <c r="I18" s="150">
        <f t="shared" si="1"/>
        <v>267.1810479690887</v>
      </c>
      <c r="J18" s="150">
        <f t="shared" si="1"/>
        <v>278.98336014999302</v>
      </c>
      <c r="K18" s="150">
        <f t="shared" si="1"/>
        <v>287.09276980329611</v>
      </c>
      <c r="L18" s="150">
        <f t="shared" si="1"/>
        <v>298.01286411247179</v>
      </c>
      <c r="M18" s="150">
        <f t="shared" si="1"/>
        <v>266.65445611468829</v>
      </c>
      <c r="N18" s="150">
        <f t="shared" si="1"/>
        <v>305.09061852034398</v>
      </c>
      <c r="O18" s="150">
        <f t="shared" si="1"/>
        <v>324.40981586169517</v>
      </c>
      <c r="P18" s="150">
        <f t="shared" si="1"/>
        <v>335.28238122699349</v>
      </c>
      <c r="Q18" s="150">
        <f t="shared" si="1"/>
        <v>335.69821538632647</v>
      </c>
      <c r="R18" s="150">
        <f t="shared" si="1"/>
        <v>335.74345050530786</v>
      </c>
      <c r="S18" s="150">
        <f t="shared" si="1"/>
        <v>354.04979674796749</v>
      </c>
      <c r="T18" s="150">
        <f t="shared" si="1"/>
        <v>351.02599999999995</v>
      </c>
      <c r="U18" s="150">
        <f t="shared" si="1"/>
        <v>372.19199602421611</v>
      </c>
      <c r="V18" s="150">
        <f t="shared" si="1"/>
        <v>371.09773670467894</v>
      </c>
    </row>
    <row r="19" spans="1:96" s="2" customFormat="1" ht="12" customHeight="1" x14ac:dyDescent="0.3">
      <c r="A19" s="4"/>
      <c r="B19" s="899"/>
      <c r="C19" s="899"/>
      <c r="D19" s="899"/>
      <c r="E19" s="899"/>
      <c r="F19" s="899"/>
      <c r="G19" s="899"/>
      <c r="H19" s="899"/>
      <c r="I19" s="899"/>
      <c r="J19" s="899"/>
      <c r="K19" s="899"/>
      <c r="L19" s="899"/>
      <c r="M19" s="899"/>
      <c r="N19" s="899"/>
      <c r="O19" s="899"/>
      <c r="P19" s="899"/>
      <c r="Q19" s="899"/>
      <c r="R19" s="899"/>
      <c r="S19" s="899"/>
      <c r="T19" s="469">
        <f>T17-T18</f>
        <v>28.746000000000095</v>
      </c>
      <c r="U19" s="469">
        <f>U17-U18</f>
        <v>29.623061353573689</v>
      </c>
      <c r="V19" s="469">
        <f>V17-V18</f>
        <v>33.426286441260572</v>
      </c>
      <c r="W19" s="4">
        <f>(T19+U19+V19)/3</f>
        <v>30.598449264944787</v>
      </c>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row>
    <row r="20" spans="1:96" s="4" customFormat="1" ht="12" customHeight="1" x14ac:dyDescent="0.3">
      <c r="A20" s="4" t="s">
        <v>174</v>
      </c>
      <c r="B20" s="899"/>
      <c r="C20" s="899"/>
      <c r="D20" s="899"/>
      <c r="E20" s="899"/>
      <c r="F20" s="899"/>
      <c r="G20" s="899"/>
      <c r="H20" s="899"/>
      <c r="I20" s="899"/>
      <c r="J20" s="899"/>
      <c r="K20" s="899"/>
      <c r="L20" s="899"/>
      <c r="M20" s="899"/>
      <c r="N20" s="899"/>
      <c r="O20" s="899"/>
      <c r="P20" s="899"/>
      <c r="Q20" s="899"/>
      <c r="R20" s="899"/>
      <c r="S20" s="899"/>
      <c r="T20" s="899"/>
    </row>
    <row r="21" spans="1:96" s="2" customFormat="1" x14ac:dyDescent="0.3">
      <c r="A21" s="4"/>
      <c r="B21" s="899"/>
      <c r="C21" s="899"/>
      <c r="D21" s="899"/>
      <c r="E21" s="899"/>
      <c r="F21" s="899"/>
      <c r="G21" s="899"/>
      <c r="H21" s="899"/>
      <c r="I21" s="899"/>
      <c r="J21" s="899"/>
      <c r="K21" s="899"/>
      <c r="L21" s="899"/>
      <c r="M21" s="899"/>
      <c r="N21" s="899"/>
      <c r="O21" s="899"/>
      <c r="P21" s="899"/>
      <c r="Q21" s="899"/>
      <c r="R21" s="899"/>
      <c r="S21" s="899"/>
      <c r="T21" s="899"/>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row>
    <row r="22" spans="1:96" x14ac:dyDescent="0.3">
      <c r="A22" s="4"/>
      <c r="W22" s="496" t="s">
        <v>570</v>
      </c>
    </row>
    <row r="23" spans="1:96" x14ac:dyDescent="0.3">
      <c r="A23" s="4"/>
      <c r="U23" s="469"/>
    </row>
    <row r="24" spans="1:96" x14ac:dyDescent="0.3">
      <c r="A24" s="4"/>
    </row>
    <row r="25" spans="1:96" x14ac:dyDescent="0.3">
      <c r="A25" s="4"/>
    </row>
    <row r="26" spans="1:96" x14ac:dyDescent="0.3">
      <c r="A26" s="4" t="s">
        <v>922</v>
      </c>
    </row>
    <row r="27" spans="1:96" s="106" customFormat="1" x14ac:dyDescent="0.3">
      <c r="A27" s="104" t="s">
        <v>199</v>
      </c>
      <c r="B27" s="203" t="s">
        <v>0</v>
      </c>
      <c r="C27" s="105" t="s">
        <v>1</v>
      </c>
      <c r="D27" s="105" t="s">
        <v>2</v>
      </c>
      <c r="E27" s="105" t="s">
        <v>3</v>
      </c>
      <c r="F27" s="105" t="s">
        <v>4</v>
      </c>
      <c r="G27" s="105" t="s">
        <v>5</v>
      </c>
      <c r="H27" s="105" t="s">
        <v>6</v>
      </c>
      <c r="I27" s="105" t="s">
        <v>7</v>
      </c>
      <c r="J27" s="105" t="s">
        <v>8</v>
      </c>
      <c r="K27" s="105" t="s">
        <v>9</v>
      </c>
      <c r="L27" s="105" t="s">
        <v>10</v>
      </c>
      <c r="M27" s="105" t="s">
        <v>11</v>
      </c>
      <c r="N27" s="105" t="s">
        <v>12</v>
      </c>
      <c r="O27" s="105" t="s">
        <v>13</v>
      </c>
      <c r="P27" s="105" t="s">
        <v>14</v>
      </c>
      <c r="Q27" s="105" t="s">
        <v>15</v>
      </c>
      <c r="R27" s="105" t="s">
        <v>16</v>
      </c>
      <c r="S27" s="105" t="s">
        <v>17</v>
      </c>
      <c r="T27" s="105" t="s">
        <v>18</v>
      </c>
      <c r="U27" s="183">
        <v>2017</v>
      </c>
      <c r="V27" s="105">
        <v>2018</v>
      </c>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392"/>
      <c r="AY27" s="392"/>
      <c r="AZ27" s="392"/>
      <c r="BA27" s="392"/>
      <c r="BB27" s="392"/>
      <c r="BC27" s="392"/>
      <c r="BD27" s="392"/>
      <c r="BE27" s="392"/>
      <c r="BF27" s="392"/>
      <c r="BG27" s="392"/>
      <c r="BH27" s="392"/>
      <c r="BI27" s="392"/>
      <c r="BJ27" s="392"/>
      <c r="BK27" s="392"/>
      <c r="BL27" s="392"/>
      <c r="BM27" s="392"/>
      <c r="BN27" s="392"/>
      <c r="BO27" s="392"/>
      <c r="BP27" s="392"/>
      <c r="BQ27" s="392"/>
      <c r="BR27" s="392"/>
      <c r="BS27" s="392"/>
      <c r="BT27" s="392"/>
      <c r="BU27" s="392"/>
      <c r="BV27" s="392"/>
      <c r="BW27" s="392"/>
      <c r="BX27" s="392"/>
      <c r="BY27" s="392"/>
      <c r="BZ27" s="392"/>
      <c r="CA27" s="392"/>
      <c r="CB27" s="392"/>
    </row>
    <row r="28" spans="1:96" x14ac:dyDescent="0.3">
      <c r="A28" s="31" t="s">
        <v>163</v>
      </c>
      <c r="B28" s="383">
        <f t="shared" ref="B28:U28" si="2">(B43/1000)/B67</f>
        <v>135.46820027063598</v>
      </c>
      <c r="C28" s="322">
        <f t="shared" si="2"/>
        <v>137.94070080862534</v>
      </c>
      <c r="D28" s="322">
        <f t="shared" si="2"/>
        <v>148.46578947368423</v>
      </c>
      <c r="E28" s="322">
        <f t="shared" si="2"/>
        <v>148.94248366013073</v>
      </c>
      <c r="F28" s="322">
        <f t="shared" si="2"/>
        <v>152.20954907161806</v>
      </c>
      <c r="G28" s="322">
        <f t="shared" si="2"/>
        <v>145.72193211488252</v>
      </c>
      <c r="H28" s="322">
        <f t="shared" si="2"/>
        <v>147.79473684210527</v>
      </c>
      <c r="I28" s="322">
        <f t="shared" si="2"/>
        <v>155.1145038167939</v>
      </c>
      <c r="J28" s="322">
        <f t="shared" si="2"/>
        <v>191.49438202247194</v>
      </c>
      <c r="K28" s="322">
        <f t="shared" si="2"/>
        <v>161.83838383838381</v>
      </c>
      <c r="L28" s="322">
        <f t="shared" si="2"/>
        <v>163.87111622554659</v>
      </c>
      <c r="M28" s="322">
        <f t="shared" si="2"/>
        <v>139.3170731707317</v>
      </c>
      <c r="N28" s="322">
        <f t="shared" si="2"/>
        <v>152.27397260273972</v>
      </c>
      <c r="O28" s="322">
        <f t="shared" si="2"/>
        <v>163.20941883767537</v>
      </c>
      <c r="P28" s="322">
        <f t="shared" si="2"/>
        <v>153.57603222557907</v>
      </c>
      <c r="Q28" s="322">
        <f t="shared" si="2"/>
        <v>148.98817733990151</v>
      </c>
      <c r="R28" s="322">
        <f t="shared" si="2"/>
        <v>148.95740365111564</v>
      </c>
      <c r="S28" s="322">
        <f t="shared" si="2"/>
        <v>141.74337221633084</v>
      </c>
      <c r="T28" s="322">
        <f t="shared" si="2"/>
        <v>142.70500000000001</v>
      </c>
      <c r="U28" s="389">
        <f t="shared" si="2"/>
        <v>156.26761904761904</v>
      </c>
      <c r="V28" s="322">
        <f>(V43/1000)/V67</f>
        <v>159.8987929433612</v>
      </c>
      <c r="W28" s="392"/>
      <c r="X28" s="392"/>
      <c r="Y28" s="392"/>
      <c r="Z28" s="392"/>
      <c r="AA28" s="392"/>
      <c r="AB28" s="392"/>
      <c r="AC28" s="392"/>
      <c r="AD28" s="392"/>
      <c r="AE28" s="392"/>
      <c r="AF28" s="392"/>
      <c r="AG28" s="392"/>
      <c r="AH28" s="392"/>
      <c r="AI28" s="392"/>
      <c r="AJ28" s="392"/>
      <c r="AK28" s="392"/>
      <c r="AL28" s="392"/>
      <c r="AM28" s="392"/>
      <c r="AN28" s="392"/>
      <c r="AO28" s="392"/>
      <c r="AP28" s="392"/>
      <c r="AQ28" s="392"/>
      <c r="AR28" s="392"/>
      <c r="AS28" s="392"/>
      <c r="AT28" s="392"/>
      <c r="AU28" s="392"/>
      <c r="AV28" s="392"/>
      <c r="AW28" s="392"/>
      <c r="AX28" s="392"/>
      <c r="AY28" s="392"/>
      <c r="AZ28" s="392"/>
      <c r="BA28" s="392"/>
      <c r="BB28" s="392"/>
      <c r="BC28" s="392"/>
      <c r="BD28" s="392"/>
      <c r="BE28" s="392"/>
      <c r="BF28" s="392"/>
      <c r="BG28" s="392"/>
      <c r="BH28" s="392"/>
      <c r="BI28" s="392"/>
      <c r="BJ28" s="392"/>
      <c r="BK28" s="392"/>
      <c r="BL28" s="392"/>
      <c r="BM28" s="392"/>
      <c r="BN28" s="392"/>
      <c r="BO28" s="392"/>
      <c r="BP28" s="392"/>
      <c r="BQ28" s="392"/>
      <c r="BR28" s="392"/>
      <c r="BS28" s="392"/>
      <c r="BT28" s="392"/>
      <c r="BU28" s="392"/>
      <c r="BV28" s="392"/>
      <c r="BW28" s="392"/>
      <c r="BX28" s="392"/>
      <c r="BY28" s="392"/>
      <c r="BZ28" s="392"/>
      <c r="CA28" s="392"/>
      <c r="CB28" s="392"/>
    </row>
    <row r="29" spans="1:96" x14ac:dyDescent="0.3">
      <c r="A29" s="31" t="s">
        <v>164</v>
      </c>
      <c r="B29" s="383">
        <f t="shared" ref="B29:U29" si="3">(B44/1000)/B65</f>
        <v>131.91510611735333</v>
      </c>
      <c r="C29" s="322">
        <f t="shared" si="3"/>
        <v>138.47236180904525</v>
      </c>
      <c r="D29" s="322">
        <f t="shared" si="3"/>
        <v>144.62668298653608</v>
      </c>
      <c r="E29" s="322">
        <f t="shared" si="3"/>
        <v>156.85049019607843</v>
      </c>
      <c r="F29" s="322">
        <f t="shared" si="3"/>
        <v>175.32408575031528</v>
      </c>
      <c r="G29" s="322">
        <f t="shared" si="3"/>
        <v>175.56423173803526</v>
      </c>
      <c r="H29" s="322">
        <f t="shared" si="3"/>
        <v>183.9808429118774</v>
      </c>
      <c r="I29" s="322">
        <f t="shared" si="3"/>
        <v>196.89259259259259</v>
      </c>
      <c r="J29" s="322">
        <f t="shared" si="3"/>
        <v>223.36341756919376</v>
      </c>
      <c r="K29" s="322">
        <f t="shared" si="3"/>
        <v>204.17224880382776</v>
      </c>
      <c r="L29" s="322">
        <f t="shared" si="3"/>
        <v>194.66773162939296</v>
      </c>
      <c r="M29" s="322">
        <f t="shared" si="3"/>
        <v>172.47181628392485</v>
      </c>
      <c r="N29" s="322">
        <f t="shared" si="3"/>
        <v>189.59879032258064</v>
      </c>
      <c r="O29" s="322">
        <f t="shared" si="3"/>
        <v>192.06880301602263</v>
      </c>
      <c r="P29" s="322">
        <f t="shared" si="3"/>
        <v>198.30769230769232</v>
      </c>
      <c r="Q29" s="322">
        <f t="shared" si="3"/>
        <v>205.78927563499531</v>
      </c>
      <c r="R29" s="322">
        <f t="shared" si="3"/>
        <v>220.02257114818448</v>
      </c>
      <c r="S29" s="322">
        <f t="shared" si="3"/>
        <v>229.71041666666667</v>
      </c>
      <c r="T29" s="322">
        <f t="shared" si="3"/>
        <v>237.06700000000001</v>
      </c>
      <c r="U29" s="389">
        <f t="shared" si="3"/>
        <v>245.54743833017079</v>
      </c>
      <c r="V29" s="322">
        <f>(V44/1000)/V65</f>
        <v>244.62523020257831</v>
      </c>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2"/>
      <c r="BB29" s="392"/>
      <c r="BC29" s="392"/>
      <c r="BD29" s="392"/>
      <c r="BE29" s="392"/>
      <c r="BF29" s="392"/>
      <c r="BG29" s="392"/>
      <c r="BH29" s="392"/>
      <c r="BI29" s="392"/>
      <c r="BJ29" s="392"/>
      <c r="BK29" s="392"/>
      <c r="BL29" s="392"/>
      <c r="BM29" s="392"/>
      <c r="BN29" s="392"/>
      <c r="BO29" s="392"/>
      <c r="BP29" s="392"/>
      <c r="BQ29" s="392"/>
      <c r="BR29" s="392"/>
      <c r="BS29" s="392"/>
      <c r="BT29" s="392"/>
      <c r="BU29" s="392"/>
      <c r="BV29" s="392"/>
      <c r="BW29" s="392"/>
      <c r="BX29" s="392"/>
      <c r="BY29" s="392"/>
      <c r="BZ29" s="392"/>
      <c r="CA29" s="392"/>
      <c r="CB29" s="392"/>
    </row>
    <row r="30" spans="1:96" x14ac:dyDescent="0.3">
      <c r="A30" s="31" t="s">
        <v>146</v>
      </c>
      <c r="B30" s="383">
        <f>B28+B29</f>
        <v>267.38330638798931</v>
      </c>
      <c r="C30" s="383">
        <f>C28+C29</f>
        <v>276.41306261767056</v>
      </c>
      <c r="D30" s="383">
        <f t="shared" ref="D30:V30" si="4">D28+D29</f>
        <v>293.09247246022028</v>
      </c>
      <c r="E30" s="383">
        <f t="shared" si="4"/>
        <v>305.79297385620919</v>
      </c>
      <c r="F30" s="383">
        <f t="shared" si="4"/>
        <v>327.53363482193333</v>
      </c>
      <c r="G30" s="383">
        <f t="shared" si="4"/>
        <v>321.28616385291775</v>
      </c>
      <c r="H30" s="383">
        <f t="shared" si="4"/>
        <v>331.7755797539827</v>
      </c>
      <c r="I30" s="383">
        <f t="shared" si="4"/>
        <v>352.00709640938646</v>
      </c>
      <c r="J30" s="383">
        <f t="shared" si="4"/>
        <v>414.8577995916657</v>
      </c>
      <c r="K30" s="383">
        <f t="shared" si="4"/>
        <v>366.01063264221159</v>
      </c>
      <c r="L30" s="383">
        <f t="shared" si="4"/>
        <v>358.53884785493955</v>
      </c>
      <c r="M30" s="383">
        <f t="shared" si="4"/>
        <v>311.78888945465656</v>
      </c>
      <c r="N30" s="383">
        <f t="shared" si="4"/>
        <v>341.87276292532033</v>
      </c>
      <c r="O30" s="383">
        <f t="shared" si="4"/>
        <v>355.27822185369803</v>
      </c>
      <c r="P30" s="383">
        <f t="shared" si="4"/>
        <v>351.88372453327139</v>
      </c>
      <c r="Q30" s="383">
        <f t="shared" si="4"/>
        <v>354.77745297489685</v>
      </c>
      <c r="R30" s="383">
        <f t="shared" si="4"/>
        <v>368.97997479930012</v>
      </c>
      <c r="S30" s="383">
        <f t="shared" si="4"/>
        <v>371.45378888299751</v>
      </c>
      <c r="T30" s="383">
        <f t="shared" si="4"/>
        <v>379.77200000000005</v>
      </c>
      <c r="U30" s="383">
        <f t="shared" si="4"/>
        <v>401.8150573777898</v>
      </c>
      <c r="V30" s="383">
        <f t="shared" si="4"/>
        <v>404.52402314593951</v>
      </c>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2"/>
      <c r="AY30" s="392"/>
      <c r="AZ30" s="392"/>
      <c r="BA30" s="392"/>
      <c r="BB30" s="392"/>
      <c r="BC30" s="392"/>
      <c r="BD30" s="392"/>
      <c r="BE30" s="392"/>
      <c r="BF30" s="392"/>
      <c r="BG30" s="392"/>
      <c r="BH30" s="392"/>
      <c r="BI30" s="392"/>
      <c r="BJ30" s="392"/>
      <c r="BK30" s="392"/>
      <c r="BL30" s="392"/>
      <c r="BM30" s="392"/>
      <c r="BN30" s="392"/>
      <c r="BO30" s="392"/>
      <c r="BP30" s="392"/>
      <c r="BQ30" s="392"/>
      <c r="BR30" s="392"/>
      <c r="BS30" s="392"/>
      <c r="BT30" s="392"/>
      <c r="BU30" s="392"/>
      <c r="BV30" s="392"/>
      <c r="BW30" s="392"/>
      <c r="BX30" s="392"/>
      <c r="BY30" s="392"/>
      <c r="BZ30" s="392"/>
      <c r="CA30" s="392"/>
      <c r="CB30" s="392"/>
    </row>
    <row r="31" spans="1:96" s="148" customFormat="1" ht="13.2" customHeight="1" x14ac:dyDescent="0.3">
      <c r="A31" s="153" t="s">
        <v>34</v>
      </c>
      <c r="B31" s="386">
        <f>B28-B29</f>
        <v>3.5530941532826432</v>
      </c>
      <c r="C31" s="387">
        <f t="shared" ref="C31:T31" si="5">C28-C29</f>
        <v>-0.53166100041991626</v>
      </c>
      <c r="D31" s="387">
        <f t="shared" si="5"/>
        <v>3.8391064871481433</v>
      </c>
      <c r="E31" s="387">
        <f t="shared" si="5"/>
        <v>-7.9080065359476919</v>
      </c>
      <c r="F31" s="387">
        <f t="shared" si="5"/>
        <v>-23.11453667869722</v>
      </c>
      <c r="G31" s="387">
        <f t="shared" si="5"/>
        <v>-29.842299623152741</v>
      </c>
      <c r="H31" s="387">
        <f t="shared" si="5"/>
        <v>-36.186106069772137</v>
      </c>
      <c r="I31" s="387">
        <f t="shared" si="5"/>
        <v>-41.778088775798693</v>
      </c>
      <c r="J31" s="387">
        <f t="shared" si="5"/>
        <v>-31.869035546721818</v>
      </c>
      <c r="K31" s="387">
        <f t="shared" si="5"/>
        <v>-42.333864965443951</v>
      </c>
      <c r="L31" s="387">
        <f t="shared" si="5"/>
        <v>-30.796615403846374</v>
      </c>
      <c r="M31" s="387">
        <f t="shared" si="5"/>
        <v>-33.154743113193149</v>
      </c>
      <c r="N31" s="387">
        <f t="shared" si="5"/>
        <v>-37.324817719840922</v>
      </c>
      <c r="O31" s="387">
        <f t="shared" si="5"/>
        <v>-28.859384178347256</v>
      </c>
      <c r="P31" s="387">
        <f t="shared" si="5"/>
        <v>-44.731660082113251</v>
      </c>
      <c r="Q31" s="387">
        <f t="shared" si="5"/>
        <v>-56.801098295093794</v>
      </c>
      <c r="R31" s="387">
        <f t="shared" si="5"/>
        <v>-71.065167497068842</v>
      </c>
      <c r="S31" s="387">
        <f t="shared" si="5"/>
        <v>-87.967044450335834</v>
      </c>
      <c r="T31" s="387">
        <f t="shared" si="5"/>
        <v>-94.361999999999995</v>
      </c>
      <c r="U31" s="390">
        <f>U28-U29</f>
        <v>-89.279819282551756</v>
      </c>
      <c r="V31" s="387">
        <f>V28-V29</f>
        <v>-84.726437259217107</v>
      </c>
      <c r="W31" s="393"/>
      <c r="X31" s="393"/>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3"/>
      <c r="AY31" s="393"/>
      <c r="AZ31" s="393"/>
      <c r="BA31" s="393"/>
      <c r="BB31" s="393"/>
      <c r="BC31" s="393"/>
      <c r="BD31" s="393"/>
      <c r="BE31" s="393"/>
      <c r="BF31" s="393"/>
      <c r="BG31" s="393"/>
      <c r="BH31" s="393"/>
      <c r="BI31" s="393"/>
      <c r="BJ31" s="393"/>
      <c r="BK31" s="393"/>
      <c r="BL31" s="393"/>
      <c r="BM31" s="393"/>
      <c r="BN31" s="393"/>
      <c r="BO31" s="393"/>
      <c r="BP31" s="393"/>
      <c r="BQ31" s="393"/>
      <c r="BR31" s="393"/>
      <c r="BS31" s="393"/>
      <c r="BT31" s="393"/>
      <c r="BU31" s="393"/>
      <c r="BV31" s="393"/>
      <c r="BW31" s="393"/>
      <c r="BX31" s="393"/>
      <c r="BY31" s="393"/>
      <c r="BZ31" s="393"/>
      <c r="CA31" s="393"/>
      <c r="CB31" s="393"/>
      <c r="CC31" s="147"/>
      <c r="CD31" s="147"/>
      <c r="CE31" s="147"/>
      <c r="CF31" s="147"/>
      <c r="CG31" s="147"/>
      <c r="CH31" s="147"/>
      <c r="CI31" s="147"/>
      <c r="CJ31" s="147"/>
      <c r="CK31" s="147"/>
      <c r="CL31" s="147"/>
      <c r="CM31" s="147"/>
      <c r="CN31" s="147"/>
      <c r="CO31" s="147"/>
      <c r="CP31" s="147"/>
      <c r="CQ31" s="147"/>
    </row>
    <row r="32" spans="1:96" s="4" customFormat="1" ht="12" customHeight="1" x14ac:dyDescent="0.3">
      <c r="B32" s="384"/>
      <c r="C32" s="21"/>
      <c r="D32" s="21"/>
      <c r="E32" s="21"/>
      <c r="F32" s="21"/>
      <c r="G32" s="21"/>
      <c r="H32" s="21"/>
      <c r="I32" s="21"/>
      <c r="J32" s="21"/>
      <c r="K32" s="21"/>
      <c r="L32" s="21"/>
      <c r="M32" s="21"/>
      <c r="N32" s="21"/>
      <c r="O32" s="21"/>
      <c r="P32" s="21"/>
      <c r="Q32" s="21"/>
      <c r="R32" s="21"/>
      <c r="S32" s="21"/>
      <c r="T32" s="21"/>
      <c r="U32" s="615">
        <f>U28+U29</f>
        <v>401.8150573777898</v>
      </c>
      <c r="V32" s="21"/>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4"/>
      <c r="BB32" s="394"/>
      <c r="BC32" s="394"/>
      <c r="BD32" s="394"/>
      <c r="BE32" s="394"/>
      <c r="BF32" s="394"/>
      <c r="BG32" s="394"/>
      <c r="BH32" s="394"/>
      <c r="BI32" s="394"/>
      <c r="BJ32" s="394"/>
      <c r="BK32" s="394"/>
      <c r="BL32" s="394"/>
      <c r="BM32" s="394"/>
      <c r="BN32" s="394"/>
      <c r="BO32" s="394"/>
      <c r="BP32" s="394"/>
      <c r="BQ32" s="394"/>
      <c r="BR32" s="394"/>
      <c r="BS32" s="394"/>
      <c r="BT32" s="394"/>
      <c r="BU32" s="394"/>
      <c r="BV32" s="394"/>
      <c r="BW32" s="394"/>
      <c r="BX32" s="394"/>
      <c r="BY32" s="394"/>
      <c r="BZ32" s="394"/>
      <c r="CA32" s="394"/>
      <c r="CB32" s="394"/>
    </row>
    <row r="33" spans="1:96" s="108" customFormat="1" x14ac:dyDescent="0.3">
      <c r="A33" s="104" t="s">
        <v>198</v>
      </c>
      <c r="B33" s="203" t="s">
        <v>0</v>
      </c>
      <c r="C33" s="105" t="s">
        <v>1</v>
      </c>
      <c r="D33" s="105" t="s">
        <v>2</v>
      </c>
      <c r="E33" s="105" t="s">
        <v>3</v>
      </c>
      <c r="F33" s="105" t="s">
        <v>4</v>
      </c>
      <c r="G33" s="105" t="s">
        <v>5</v>
      </c>
      <c r="H33" s="105" t="s">
        <v>6</v>
      </c>
      <c r="I33" s="105" t="s">
        <v>7</v>
      </c>
      <c r="J33" s="105" t="s">
        <v>8</v>
      </c>
      <c r="K33" s="105" t="s">
        <v>9</v>
      </c>
      <c r="L33" s="105" t="s">
        <v>10</v>
      </c>
      <c r="M33" s="105" t="s">
        <v>11</v>
      </c>
      <c r="N33" s="105" t="s">
        <v>12</v>
      </c>
      <c r="O33" s="105" t="s">
        <v>13</v>
      </c>
      <c r="P33" s="105" t="s">
        <v>14</v>
      </c>
      <c r="Q33" s="105" t="s">
        <v>15</v>
      </c>
      <c r="R33" s="105" t="s">
        <v>16</v>
      </c>
      <c r="S33" s="105" t="s">
        <v>17</v>
      </c>
      <c r="T33" s="105" t="s">
        <v>18</v>
      </c>
      <c r="U33" s="183">
        <v>2017</v>
      </c>
      <c r="V33" s="105">
        <v>2018</v>
      </c>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4"/>
      <c r="AY33" s="394"/>
      <c r="AZ33" s="394"/>
      <c r="BA33" s="394"/>
      <c r="BB33" s="394"/>
      <c r="BC33" s="394"/>
      <c r="BD33" s="394"/>
      <c r="BE33" s="394"/>
      <c r="BF33" s="394"/>
      <c r="BG33" s="394"/>
      <c r="BH33" s="394"/>
      <c r="BI33" s="394"/>
      <c r="BJ33" s="394"/>
      <c r="BK33" s="394"/>
      <c r="BL33" s="394"/>
      <c r="BM33" s="394"/>
      <c r="BN33" s="394"/>
      <c r="BO33" s="394"/>
      <c r="BP33" s="394"/>
      <c r="BQ33" s="394"/>
      <c r="BR33" s="394"/>
      <c r="BS33" s="394"/>
      <c r="BT33" s="394"/>
      <c r="BU33" s="394"/>
      <c r="BV33" s="394"/>
      <c r="BW33" s="394"/>
      <c r="BX33" s="394"/>
      <c r="BY33" s="394"/>
      <c r="BZ33" s="394"/>
      <c r="CA33" s="394"/>
      <c r="CB33" s="394"/>
      <c r="CC33" s="107"/>
      <c r="CD33" s="107"/>
      <c r="CE33" s="107"/>
      <c r="CF33" s="107"/>
      <c r="CG33" s="107"/>
      <c r="CH33" s="107"/>
      <c r="CI33" s="107"/>
      <c r="CJ33" s="107"/>
      <c r="CK33" s="107"/>
      <c r="CL33" s="107"/>
      <c r="CM33" s="107"/>
      <c r="CN33" s="107"/>
      <c r="CO33" s="107"/>
      <c r="CP33" s="107"/>
      <c r="CQ33" s="107"/>
      <c r="CR33" s="107"/>
    </row>
    <row r="34" spans="1:96" x14ac:dyDescent="0.3">
      <c r="A34" s="31" t="s">
        <v>167</v>
      </c>
      <c r="B34" s="385">
        <f t="shared" ref="B34:U34" si="6">(B50/1000)/B67</f>
        <v>88.184032476319345</v>
      </c>
      <c r="C34" s="321">
        <f t="shared" si="6"/>
        <v>88.183288409703508</v>
      </c>
      <c r="D34" s="321">
        <f t="shared" si="6"/>
        <v>100.16578947368421</v>
      </c>
      <c r="E34" s="321">
        <f t="shared" si="6"/>
        <v>98.813071895424827</v>
      </c>
      <c r="F34" s="321">
        <f t="shared" si="6"/>
        <v>95.745358090185661</v>
      </c>
      <c r="G34" s="321">
        <f t="shared" si="6"/>
        <v>100.61488250652742</v>
      </c>
      <c r="H34" s="321">
        <f t="shared" si="6"/>
        <v>104.45921052631579</v>
      </c>
      <c r="I34" s="321">
        <f t="shared" si="6"/>
        <v>115.56870229007635</v>
      </c>
      <c r="J34" s="321">
        <f t="shared" si="6"/>
        <v>114.07240948813984</v>
      </c>
      <c r="K34" s="321">
        <f t="shared" si="6"/>
        <v>119.12626262626262</v>
      </c>
      <c r="L34" s="321">
        <f t="shared" si="6"/>
        <v>126.41542002301495</v>
      </c>
      <c r="M34" s="321">
        <f t="shared" si="6"/>
        <v>112.74944567627495</v>
      </c>
      <c r="N34" s="321">
        <f t="shared" si="6"/>
        <v>129.11380400421496</v>
      </c>
      <c r="O34" s="321">
        <f t="shared" si="6"/>
        <v>141.20340681362725</v>
      </c>
      <c r="P34" s="321">
        <f t="shared" si="6"/>
        <v>147.92245720040282</v>
      </c>
      <c r="Q34" s="321">
        <f t="shared" si="6"/>
        <v>146.96256157635469</v>
      </c>
      <c r="R34" s="321">
        <f t="shared" si="6"/>
        <v>148.32048681541582</v>
      </c>
      <c r="S34" s="321">
        <f t="shared" si="6"/>
        <v>162.34146341463415</v>
      </c>
      <c r="T34" s="321">
        <f t="shared" si="6"/>
        <v>156.36799999999999</v>
      </c>
      <c r="U34" s="391">
        <f t="shared" si="6"/>
        <v>166.34095238095236</v>
      </c>
      <c r="V34" s="321">
        <f>(V50/1000)/V67</f>
        <v>165.6824512534819</v>
      </c>
      <c r="W34" s="392"/>
      <c r="X34" s="392"/>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92"/>
      <c r="AU34" s="392"/>
      <c r="AV34" s="392"/>
      <c r="AW34" s="392"/>
      <c r="AX34" s="392"/>
      <c r="AY34" s="392"/>
      <c r="AZ34" s="392"/>
      <c r="BA34" s="392"/>
      <c r="BB34" s="392"/>
      <c r="BC34" s="392"/>
      <c r="BD34" s="392"/>
      <c r="BE34" s="392"/>
      <c r="BF34" s="392"/>
      <c r="BG34" s="392"/>
      <c r="BH34" s="392"/>
      <c r="BI34" s="392"/>
      <c r="BJ34" s="392"/>
      <c r="BK34" s="392"/>
      <c r="BL34" s="392"/>
      <c r="BM34" s="392"/>
      <c r="BN34" s="392"/>
      <c r="BO34" s="392"/>
      <c r="BP34" s="392"/>
      <c r="BQ34" s="392"/>
      <c r="BR34" s="392"/>
      <c r="BS34" s="392"/>
      <c r="BT34" s="392"/>
      <c r="BU34" s="392"/>
      <c r="BV34" s="392"/>
      <c r="BW34" s="392"/>
      <c r="BX34" s="392"/>
      <c r="BY34" s="392"/>
      <c r="BZ34" s="392"/>
      <c r="CA34" s="392"/>
      <c r="CB34" s="392"/>
    </row>
    <row r="35" spans="1:96" x14ac:dyDescent="0.3">
      <c r="A35" s="31" t="s">
        <v>168</v>
      </c>
      <c r="B35" s="385">
        <f t="shared" ref="B35:U35" si="7">(B51/1000)/B65</f>
        <v>101.14107365792759</v>
      </c>
      <c r="C35" s="321">
        <f t="shared" si="7"/>
        <v>108.00000000000001</v>
      </c>
      <c r="D35" s="321">
        <f t="shared" si="7"/>
        <v>128.70379436964504</v>
      </c>
      <c r="E35" s="321">
        <f t="shared" si="7"/>
        <v>128.77205882352942</v>
      </c>
      <c r="F35" s="321">
        <f t="shared" si="7"/>
        <v>122.9609079445145</v>
      </c>
      <c r="G35" s="321">
        <f t="shared" si="7"/>
        <v>126.2191435768262</v>
      </c>
      <c r="H35" s="321">
        <f t="shared" si="7"/>
        <v>138.80459770114945</v>
      </c>
      <c r="I35" s="321">
        <f t="shared" si="7"/>
        <v>151.61234567901232</v>
      </c>
      <c r="J35" s="321">
        <f t="shared" si="7"/>
        <v>164.91095066185321</v>
      </c>
      <c r="K35" s="321">
        <f t="shared" si="7"/>
        <v>167.96650717703349</v>
      </c>
      <c r="L35" s="321">
        <f t="shared" si="7"/>
        <v>171.59744408945684</v>
      </c>
      <c r="M35" s="321">
        <f t="shared" si="7"/>
        <v>153.90501043841337</v>
      </c>
      <c r="N35" s="321">
        <f t="shared" si="7"/>
        <v>175.97681451612902</v>
      </c>
      <c r="O35" s="321">
        <f t="shared" si="7"/>
        <v>183.20640904806788</v>
      </c>
      <c r="P35" s="321">
        <f t="shared" si="7"/>
        <v>187.3599240265907</v>
      </c>
      <c r="Q35" s="321">
        <f t="shared" si="7"/>
        <v>188.73565380997178</v>
      </c>
      <c r="R35" s="321">
        <f t="shared" si="7"/>
        <v>187.42296368989204</v>
      </c>
      <c r="S35" s="321">
        <f t="shared" si="7"/>
        <v>191.70833333333334</v>
      </c>
      <c r="T35" s="321">
        <f t="shared" si="7"/>
        <v>194.65799999999999</v>
      </c>
      <c r="U35" s="391">
        <f t="shared" si="7"/>
        <v>205.85104364326375</v>
      </c>
      <c r="V35" s="321">
        <f>(V51/1000)/V65</f>
        <v>205.41528545119706</v>
      </c>
    </row>
    <row r="36" spans="1:96" x14ac:dyDescent="0.3">
      <c r="A36" s="31" t="s">
        <v>146</v>
      </c>
      <c r="B36" s="385">
        <f>B34+B35</f>
        <v>189.32510613424694</v>
      </c>
      <c r="C36" s="385">
        <f t="shared" ref="C36:V36" si="8">C34+C35</f>
        <v>196.18328840970352</v>
      </c>
      <c r="D36" s="385">
        <f t="shared" si="8"/>
        <v>228.86958384332925</v>
      </c>
      <c r="E36" s="385">
        <f t="shared" si="8"/>
        <v>227.58513071895425</v>
      </c>
      <c r="F36" s="385">
        <f t="shared" si="8"/>
        <v>218.70626603470015</v>
      </c>
      <c r="G36" s="385">
        <f t="shared" si="8"/>
        <v>226.83402608335362</v>
      </c>
      <c r="H36" s="385">
        <f t="shared" si="8"/>
        <v>243.26380822746523</v>
      </c>
      <c r="I36" s="385">
        <f t="shared" si="8"/>
        <v>267.1810479690887</v>
      </c>
      <c r="J36" s="385">
        <f t="shared" si="8"/>
        <v>278.98336014999302</v>
      </c>
      <c r="K36" s="385">
        <f t="shared" si="8"/>
        <v>287.09276980329611</v>
      </c>
      <c r="L36" s="385">
        <f t="shared" si="8"/>
        <v>298.01286411247179</v>
      </c>
      <c r="M36" s="385">
        <f t="shared" si="8"/>
        <v>266.65445611468829</v>
      </c>
      <c r="N36" s="385">
        <f t="shared" si="8"/>
        <v>305.09061852034398</v>
      </c>
      <c r="O36" s="385">
        <f t="shared" si="8"/>
        <v>324.40981586169517</v>
      </c>
      <c r="P36" s="385">
        <f t="shared" si="8"/>
        <v>335.28238122699349</v>
      </c>
      <c r="Q36" s="385">
        <f t="shared" si="8"/>
        <v>335.69821538632647</v>
      </c>
      <c r="R36" s="385">
        <f t="shared" si="8"/>
        <v>335.74345050530786</v>
      </c>
      <c r="S36" s="385">
        <f t="shared" si="8"/>
        <v>354.04979674796749</v>
      </c>
      <c r="T36" s="385">
        <f t="shared" si="8"/>
        <v>351.02599999999995</v>
      </c>
      <c r="U36" s="385">
        <f t="shared" si="8"/>
        <v>372.19199602421611</v>
      </c>
      <c r="V36" s="385">
        <f t="shared" si="8"/>
        <v>371.09773670467894</v>
      </c>
    </row>
    <row r="37" spans="1:96" s="149" customFormat="1" ht="12" customHeight="1" x14ac:dyDescent="0.3">
      <c r="A37" s="388" t="s">
        <v>34</v>
      </c>
      <c r="B37" s="386">
        <f t="shared" ref="B37:T37" si="9">B34-B35</f>
        <v>-12.957041181608247</v>
      </c>
      <c r="C37" s="387">
        <f t="shared" si="9"/>
        <v>-19.816711590296507</v>
      </c>
      <c r="D37" s="387">
        <f t="shared" si="9"/>
        <v>-28.538004895960825</v>
      </c>
      <c r="E37" s="387">
        <f t="shared" si="9"/>
        <v>-29.958986928104594</v>
      </c>
      <c r="F37" s="387">
        <f t="shared" si="9"/>
        <v>-27.215549854328842</v>
      </c>
      <c r="G37" s="387">
        <f t="shared" si="9"/>
        <v>-25.604261070298776</v>
      </c>
      <c r="H37" s="387">
        <f t="shared" si="9"/>
        <v>-34.345387174833661</v>
      </c>
      <c r="I37" s="387">
        <f t="shared" si="9"/>
        <v>-36.043643388935976</v>
      </c>
      <c r="J37" s="387">
        <f t="shared" si="9"/>
        <v>-50.838541173713367</v>
      </c>
      <c r="K37" s="387">
        <f t="shared" si="9"/>
        <v>-48.840244550770876</v>
      </c>
      <c r="L37" s="387">
        <f t="shared" si="9"/>
        <v>-45.182024066441898</v>
      </c>
      <c r="M37" s="387">
        <f t="shared" si="9"/>
        <v>-41.155564762138425</v>
      </c>
      <c r="N37" s="387">
        <f t="shared" si="9"/>
        <v>-46.863010511914069</v>
      </c>
      <c r="O37" s="387">
        <f t="shared" si="9"/>
        <v>-42.003002234440629</v>
      </c>
      <c r="P37" s="387">
        <f t="shared" si="9"/>
        <v>-39.437466826187887</v>
      </c>
      <c r="Q37" s="387">
        <f t="shared" si="9"/>
        <v>-41.773092233617092</v>
      </c>
      <c r="R37" s="387">
        <f t="shared" si="9"/>
        <v>-39.102476874476224</v>
      </c>
      <c r="S37" s="387">
        <f t="shared" si="9"/>
        <v>-29.366869918699194</v>
      </c>
      <c r="T37" s="387">
        <f t="shared" si="9"/>
        <v>-38.289999999999992</v>
      </c>
      <c r="U37" s="390">
        <f>U34-U35</f>
        <v>-39.510091262311391</v>
      </c>
      <c r="V37" s="387">
        <f>V34-V35</f>
        <v>-39.732834197715164</v>
      </c>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row>
    <row r="38" spans="1:96" s="2" customFormat="1" x14ac:dyDescent="0.3">
      <c r="A38" s="899"/>
      <c r="B38" s="899"/>
      <c r="C38" s="899"/>
      <c r="D38" s="899"/>
      <c r="E38" s="899"/>
      <c r="F38" s="899"/>
      <c r="G38" s="899"/>
      <c r="H38" s="899"/>
      <c r="I38" s="899"/>
      <c r="J38" s="899"/>
      <c r="K38" s="899"/>
      <c r="L38" s="899"/>
      <c r="M38" s="899"/>
      <c r="N38" s="899"/>
      <c r="O38" s="899"/>
      <c r="P38" s="899"/>
      <c r="Q38" s="899"/>
      <c r="R38" s="899"/>
      <c r="S38" s="899"/>
      <c r="T38" s="899"/>
      <c r="U38" s="616">
        <f>U34+U35</f>
        <v>372.19199602421611</v>
      </c>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row>
    <row r="39" spans="1:96" s="2" customFormat="1" ht="31.2" customHeight="1" x14ac:dyDescent="0.3">
      <c r="A39" s="950"/>
      <c r="B39" s="950"/>
      <c r="C39" s="950"/>
      <c r="D39" s="950"/>
      <c r="E39" s="950"/>
      <c r="F39" s="950"/>
      <c r="G39" s="950"/>
      <c r="H39" s="899"/>
      <c r="I39" s="899"/>
      <c r="J39" s="899"/>
      <c r="K39" s="899"/>
      <c r="L39" s="899"/>
      <c r="M39" s="899"/>
      <c r="N39" s="899"/>
      <c r="O39" s="899"/>
      <c r="P39" s="899"/>
      <c r="Q39" s="899"/>
      <c r="R39" s="899"/>
      <c r="S39" s="899"/>
      <c r="T39" s="899"/>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row>
    <row r="41" spans="1:96" ht="18" x14ac:dyDescent="0.35">
      <c r="A41" s="201" t="s">
        <v>872</v>
      </c>
      <c r="AA41" s="846" t="s">
        <v>874</v>
      </c>
    </row>
    <row r="42" spans="1:96" s="106" customFormat="1" x14ac:dyDescent="0.3">
      <c r="A42" s="104" t="s">
        <v>182</v>
      </c>
      <c r="B42" s="105">
        <v>1998</v>
      </c>
      <c r="C42" s="105" t="s">
        <v>1</v>
      </c>
      <c r="D42" s="105" t="s">
        <v>2</v>
      </c>
      <c r="E42" s="105" t="s">
        <v>3</v>
      </c>
      <c r="F42" s="105" t="s">
        <v>4</v>
      </c>
      <c r="G42" s="105" t="s">
        <v>5</v>
      </c>
      <c r="H42" s="105" t="s">
        <v>6</v>
      </c>
      <c r="I42" s="105" t="s">
        <v>7</v>
      </c>
      <c r="J42" s="105" t="s">
        <v>8</v>
      </c>
      <c r="K42" s="105" t="s">
        <v>9</v>
      </c>
      <c r="L42" s="105" t="s">
        <v>10</v>
      </c>
      <c r="M42" s="105" t="s">
        <v>11</v>
      </c>
      <c r="N42" s="105" t="s">
        <v>12</v>
      </c>
      <c r="O42" s="105" t="s">
        <v>13</v>
      </c>
      <c r="P42" s="105" t="s">
        <v>14</v>
      </c>
      <c r="Q42" s="105" t="s">
        <v>15</v>
      </c>
      <c r="R42" s="105" t="s">
        <v>16</v>
      </c>
      <c r="S42" s="105" t="s">
        <v>17</v>
      </c>
      <c r="T42" s="105" t="s">
        <v>18</v>
      </c>
      <c r="U42" s="105">
        <v>2017</v>
      </c>
      <c r="V42" s="105">
        <v>2018</v>
      </c>
      <c r="AB42" s="749">
        <v>2019</v>
      </c>
      <c r="AC42" s="749">
        <v>2020</v>
      </c>
      <c r="AD42" s="749">
        <v>2021</v>
      </c>
      <c r="AE42" s="749">
        <v>2022</v>
      </c>
      <c r="AF42" s="749">
        <v>2023</v>
      </c>
      <c r="AG42" s="749">
        <v>2024</v>
      </c>
      <c r="AH42" s="749">
        <v>2025</v>
      </c>
      <c r="AI42" s="749">
        <v>2026</v>
      </c>
      <c r="AJ42" s="749">
        <v>2027</v>
      </c>
      <c r="AK42" s="749">
        <v>2028</v>
      </c>
      <c r="AL42" s="749">
        <v>2029</v>
      </c>
      <c r="AM42" s="749">
        <v>2030</v>
      </c>
      <c r="AN42" s="749">
        <v>2031</v>
      </c>
      <c r="AO42" s="749">
        <v>2032</v>
      </c>
      <c r="AP42" s="749">
        <v>2033</v>
      </c>
      <c r="AQ42" s="749">
        <v>2034</v>
      </c>
      <c r="AR42" s="749">
        <v>2035</v>
      </c>
    </row>
    <row r="43" spans="1:96" x14ac:dyDescent="0.3">
      <c r="A43" s="31" t="s">
        <v>163</v>
      </c>
      <c r="B43" s="847">
        <v>100111</v>
      </c>
      <c r="C43" s="847">
        <v>102352</v>
      </c>
      <c r="D43" s="847">
        <v>112834</v>
      </c>
      <c r="E43" s="847">
        <v>113941</v>
      </c>
      <c r="F43" s="847">
        <v>114766</v>
      </c>
      <c r="G43" s="847">
        <v>111623</v>
      </c>
      <c r="H43" s="847">
        <v>112324</v>
      </c>
      <c r="I43" s="847">
        <v>121920</v>
      </c>
      <c r="J43" s="847">
        <v>153387</v>
      </c>
      <c r="K43" s="847">
        <v>128176</v>
      </c>
      <c r="L43" s="847">
        <v>142404</v>
      </c>
      <c r="M43" s="847">
        <v>125664</v>
      </c>
      <c r="N43" s="847">
        <v>144508</v>
      </c>
      <c r="O43" s="847">
        <v>162883</v>
      </c>
      <c r="P43" s="847">
        <v>152501</v>
      </c>
      <c r="Q43" s="847">
        <v>151223</v>
      </c>
      <c r="R43" s="847">
        <v>146872</v>
      </c>
      <c r="S43" s="847">
        <v>133664</v>
      </c>
      <c r="T43" s="847">
        <v>142705</v>
      </c>
      <c r="U43" s="847">
        <v>164081</v>
      </c>
      <c r="V43" s="847">
        <v>172211</v>
      </c>
      <c r="W43" s="92" t="s">
        <v>265</v>
      </c>
      <c r="X43" s="899" t="s">
        <v>871</v>
      </c>
      <c r="AA43" s="899" t="s">
        <v>43</v>
      </c>
      <c r="AB43" s="899" t="e">
        <f>V43+(AB46*V43)</f>
        <v>#REF!</v>
      </c>
      <c r="AC43" s="899" t="e">
        <f t="shared" ref="AC43:AP44" si="10">(AB43*AC46)+AB43</f>
        <v>#REF!</v>
      </c>
      <c r="AD43" s="899" t="e">
        <f t="shared" si="10"/>
        <v>#REF!</v>
      </c>
      <c r="AE43" s="899" t="e">
        <f t="shared" si="10"/>
        <v>#REF!</v>
      </c>
      <c r="AF43" s="899" t="e">
        <f t="shared" si="10"/>
        <v>#REF!</v>
      </c>
      <c r="AG43" s="899" t="e">
        <f t="shared" si="10"/>
        <v>#REF!</v>
      </c>
      <c r="AH43" s="899" t="e">
        <f t="shared" si="10"/>
        <v>#REF!</v>
      </c>
      <c r="AI43" s="899" t="e">
        <f t="shared" si="10"/>
        <v>#REF!</v>
      </c>
      <c r="AJ43" s="899" t="e">
        <f t="shared" si="10"/>
        <v>#REF!</v>
      </c>
      <c r="AK43" s="899" t="e">
        <f t="shared" si="10"/>
        <v>#REF!</v>
      </c>
      <c r="AL43" s="899" t="e">
        <f t="shared" si="10"/>
        <v>#REF!</v>
      </c>
      <c r="AM43" s="899" t="e">
        <f t="shared" si="10"/>
        <v>#REF!</v>
      </c>
      <c r="AN43" s="899" t="e">
        <f t="shared" si="10"/>
        <v>#REF!</v>
      </c>
      <c r="AO43" s="899" t="e">
        <f t="shared" si="10"/>
        <v>#REF!</v>
      </c>
      <c r="AP43" s="899" t="e">
        <f t="shared" si="10"/>
        <v>#REF!</v>
      </c>
      <c r="AQ43" s="899" t="e">
        <f>(AP43*AQ46)+AP43</f>
        <v>#REF!</v>
      </c>
      <c r="AR43" s="899" t="e">
        <f>(AQ43*AR46)+AQ43</f>
        <v>#REF!</v>
      </c>
    </row>
    <row r="44" spans="1:96" x14ac:dyDescent="0.3">
      <c r="A44" s="31" t="s">
        <v>164</v>
      </c>
      <c r="B44" s="847">
        <v>105664</v>
      </c>
      <c r="C44" s="847">
        <v>110224</v>
      </c>
      <c r="D44" s="847">
        <v>118160</v>
      </c>
      <c r="E44" s="847">
        <v>127990</v>
      </c>
      <c r="F44" s="847">
        <v>139032</v>
      </c>
      <c r="G44" s="847">
        <v>139398</v>
      </c>
      <c r="H44" s="847">
        <v>144057</v>
      </c>
      <c r="I44" s="847">
        <v>159483</v>
      </c>
      <c r="J44" s="847">
        <v>185615</v>
      </c>
      <c r="K44" s="847">
        <v>170688</v>
      </c>
      <c r="L44" s="847">
        <v>182793</v>
      </c>
      <c r="M44" s="847">
        <v>165228</v>
      </c>
      <c r="N44" s="847">
        <v>188082</v>
      </c>
      <c r="O44" s="847">
        <v>203785</v>
      </c>
      <c r="P44" s="847">
        <v>208818</v>
      </c>
      <c r="Q44" s="847">
        <v>218754</v>
      </c>
      <c r="R44" s="847">
        <v>224203</v>
      </c>
      <c r="S44" s="847">
        <v>220522</v>
      </c>
      <c r="T44" s="847">
        <v>237067</v>
      </c>
      <c r="U44" s="847">
        <v>258807</v>
      </c>
      <c r="V44" s="847">
        <v>265663</v>
      </c>
      <c r="W44" s="92" t="s">
        <v>265</v>
      </c>
      <c r="X44" s="376" t="s">
        <v>871</v>
      </c>
      <c r="AA44" s="899" t="s">
        <v>44</v>
      </c>
      <c r="AB44" s="899" t="e">
        <f>V44+(AB47*V44)</f>
        <v>#REF!</v>
      </c>
      <c r="AC44" s="899" t="e">
        <f t="shared" si="10"/>
        <v>#REF!</v>
      </c>
      <c r="AD44" s="899" t="e">
        <f t="shared" si="10"/>
        <v>#REF!</v>
      </c>
      <c r="AE44" s="899" t="e">
        <f t="shared" si="10"/>
        <v>#REF!</v>
      </c>
      <c r="AF44" s="899" t="e">
        <f t="shared" si="10"/>
        <v>#REF!</v>
      </c>
      <c r="AG44" s="899" t="e">
        <f t="shared" si="10"/>
        <v>#REF!</v>
      </c>
      <c r="AH44" s="899" t="e">
        <f t="shared" si="10"/>
        <v>#REF!</v>
      </c>
      <c r="AI44" s="899" t="e">
        <f t="shared" si="10"/>
        <v>#REF!</v>
      </c>
      <c r="AJ44" s="899" t="e">
        <f t="shared" si="10"/>
        <v>#REF!</v>
      </c>
      <c r="AK44" s="899" t="e">
        <f t="shared" si="10"/>
        <v>#REF!</v>
      </c>
      <c r="AL44" s="899" t="e">
        <f t="shared" si="10"/>
        <v>#REF!</v>
      </c>
      <c r="AM44" s="899" t="e">
        <f t="shared" si="10"/>
        <v>#REF!</v>
      </c>
      <c r="AN44" s="899" t="e">
        <f t="shared" si="10"/>
        <v>#REF!</v>
      </c>
      <c r="AO44" s="899" t="e">
        <f t="shared" si="10"/>
        <v>#REF!</v>
      </c>
      <c r="AP44" s="899" t="e">
        <f t="shared" si="10"/>
        <v>#REF!</v>
      </c>
      <c r="AQ44" s="899" t="e">
        <f>(AP44*AQ47)+AP44</f>
        <v>#REF!</v>
      </c>
      <c r="AR44" s="899" t="e">
        <f>(AQ44*AR47)+AQ44</f>
        <v>#REF!</v>
      </c>
    </row>
    <row r="45" spans="1:96" s="39" customFormat="1" ht="13.2" customHeight="1" x14ac:dyDescent="0.3">
      <c r="A45" s="37" t="s">
        <v>34</v>
      </c>
      <c r="B45" s="98">
        <f>B43-B44</f>
        <v>-5553</v>
      </c>
      <c r="C45" s="98">
        <f t="shared" ref="C45:V45" si="11">C43-C44</f>
        <v>-7872</v>
      </c>
      <c r="D45" s="98">
        <f t="shared" si="11"/>
        <v>-5326</v>
      </c>
      <c r="E45" s="98">
        <f t="shared" si="11"/>
        <v>-14049</v>
      </c>
      <c r="F45" s="98">
        <f t="shared" si="11"/>
        <v>-24266</v>
      </c>
      <c r="G45" s="98">
        <f t="shared" si="11"/>
        <v>-27775</v>
      </c>
      <c r="H45" s="98">
        <f t="shared" si="11"/>
        <v>-31733</v>
      </c>
      <c r="I45" s="98">
        <f t="shared" si="11"/>
        <v>-37563</v>
      </c>
      <c r="J45" s="98">
        <f t="shared" si="11"/>
        <v>-32228</v>
      </c>
      <c r="K45" s="98">
        <f t="shared" si="11"/>
        <v>-42512</v>
      </c>
      <c r="L45" s="98">
        <f t="shared" si="11"/>
        <v>-40389</v>
      </c>
      <c r="M45" s="98">
        <f t="shared" si="11"/>
        <v>-39564</v>
      </c>
      <c r="N45" s="98">
        <f t="shared" si="11"/>
        <v>-43574</v>
      </c>
      <c r="O45" s="98">
        <f t="shared" si="11"/>
        <v>-40902</v>
      </c>
      <c r="P45" s="98">
        <f t="shared" si="11"/>
        <v>-56317</v>
      </c>
      <c r="Q45" s="98">
        <f t="shared" si="11"/>
        <v>-67531</v>
      </c>
      <c r="R45" s="98">
        <f t="shared" si="11"/>
        <v>-77331</v>
      </c>
      <c r="S45" s="98">
        <f t="shared" si="11"/>
        <v>-86858</v>
      </c>
      <c r="T45" s="98">
        <f t="shared" si="11"/>
        <v>-94362</v>
      </c>
      <c r="U45" s="373">
        <f>U43-U44</f>
        <v>-94726</v>
      </c>
      <c r="V45" s="373">
        <f t="shared" si="11"/>
        <v>-93452</v>
      </c>
      <c r="W45" s="37"/>
      <c r="X45" s="37"/>
      <c r="Y45" s="37"/>
      <c r="Z45" s="37"/>
      <c r="AA45" s="37" t="s">
        <v>877</v>
      </c>
      <c r="AB45" s="747" t="e">
        <f>(AB43-AB44)/1000</f>
        <v>#REF!</v>
      </c>
      <c r="AC45" s="747" t="e">
        <f t="shared" ref="AC45:AP45" si="12">(AC43-AC44)/1000</f>
        <v>#REF!</v>
      </c>
      <c r="AD45" s="747" t="e">
        <f t="shared" si="12"/>
        <v>#REF!</v>
      </c>
      <c r="AE45" s="747" t="e">
        <f t="shared" si="12"/>
        <v>#REF!</v>
      </c>
      <c r="AF45" s="747" t="e">
        <f t="shared" si="12"/>
        <v>#REF!</v>
      </c>
      <c r="AG45" s="747" t="e">
        <f t="shared" si="12"/>
        <v>#REF!</v>
      </c>
      <c r="AH45" s="747" t="e">
        <f t="shared" si="12"/>
        <v>#REF!</v>
      </c>
      <c r="AI45" s="747" t="e">
        <f t="shared" si="12"/>
        <v>#REF!</v>
      </c>
      <c r="AJ45" s="747" t="e">
        <f t="shared" si="12"/>
        <v>#REF!</v>
      </c>
      <c r="AK45" s="747" t="e">
        <f t="shared" si="12"/>
        <v>#REF!</v>
      </c>
      <c r="AL45" s="747" t="e">
        <f t="shared" si="12"/>
        <v>#REF!</v>
      </c>
      <c r="AM45" s="747" t="e">
        <f t="shared" si="12"/>
        <v>#REF!</v>
      </c>
      <c r="AN45" s="747" t="e">
        <f t="shared" si="12"/>
        <v>#REF!</v>
      </c>
      <c r="AO45" s="747" t="e">
        <f t="shared" si="12"/>
        <v>#REF!</v>
      </c>
      <c r="AP45" s="747" t="e">
        <f t="shared" si="12"/>
        <v>#REF!</v>
      </c>
      <c r="AQ45" s="747" t="e">
        <f>(AQ43-AQ44)/1000</f>
        <v>#REF!</v>
      </c>
      <c r="AR45" s="747" t="e">
        <f>(AR43-AR44)/1000</f>
        <v>#REF!</v>
      </c>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row>
    <row r="46" spans="1:96" s="2" customFormat="1" ht="13.2" customHeight="1" x14ac:dyDescent="0.3">
      <c r="A46" s="4"/>
      <c r="B46" s="100"/>
      <c r="C46" s="100"/>
      <c r="D46" s="100"/>
      <c r="E46" s="100"/>
      <c r="F46" s="100"/>
      <c r="G46" s="100"/>
      <c r="H46" s="100"/>
      <c r="I46" s="100"/>
      <c r="J46" s="100"/>
      <c r="K46" s="100"/>
      <c r="L46" s="100"/>
      <c r="M46" s="100"/>
      <c r="N46" s="100"/>
      <c r="O46" s="100"/>
      <c r="P46" s="100"/>
      <c r="Q46" s="100"/>
      <c r="R46" s="100"/>
      <c r="S46" s="100"/>
      <c r="T46" s="100"/>
      <c r="U46" s="597">
        <f>U43+U44</f>
        <v>422888</v>
      </c>
      <c r="V46" s="597">
        <f>V43+V44</f>
        <v>437874</v>
      </c>
      <c r="W46" s="4">
        <f>V43/V44</f>
        <v>0.64823102953742151</v>
      </c>
      <c r="X46" s="4">
        <f>V43/V46</f>
        <v>0.39328893700014161</v>
      </c>
      <c r="Y46" s="4"/>
      <c r="Z46" s="4"/>
      <c r="AA46" s="4"/>
      <c r="AB46" s="745" t="e">
        <f>#REF!</f>
        <v>#REF!</v>
      </c>
      <c r="AC46" s="745" t="e">
        <f>#REF!</f>
        <v>#REF!</v>
      </c>
      <c r="AD46" s="745" t="e">
        <f>#REF!</f>
        <v>#REF!</v>
      </c>
      <c r="AE46" s="745" t="e">
        <f>AB46</f>
        <v>#REF!</v>
      </c>
      <c r="AF46" s="745" t="e">
        <f>AE46</f>
        <v>#REF!</v>
      </c>
      <c r="AG46" s="745" t="e">
        <f>AF46</f>
        <v>#REF!</v>
      </c>
      <c r="AH46" s="745" t="e">
        <f>AE46</f>
        <v>#REF!</v>
      </c>
      <c r="AI46" s="745" t="e">
        <f>AH46</f>
        <v>#REF!</v>
      </c>
      <c r="AJ46" s="745" t="e">
        <f>AI46</f>
        <v>#REF!</v>
      </c>
      <c r="AK46" s="745" t="e">
        <f>AH46</f>
        <v>#REF!</v>
      </c>
      <c r="AL46" s="745" t="e">
        <f>AK46</f>
        <v>#REF!</v>
      </c>
      <c r="AM46" s="745" t="e">
        <f>AL46</f>
        <v>#REF!</v>
      </c>
      <c r="AN46" s="745" t="e">
        <f>AK46</f>
        <v>#REF!</v>
      </c>
      <c r="AO46" s="745" t="e">
        <f>AL46</f>
        <v>#REF!</v>
      </c>
      <c r="AP46" s="745" t="e">
        <f>AO46</f>
        <v>#REF!</v>
      </c>
      <c r="AQ46" s="745" t="e">
        <f>AP46</f>
        <v>#REF!</v>
      </c>
      <c r="AR46" s="745" t="e">
        <f>AO46</f>
        <v>#REF!</v>
      </c>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row>
    <row r="47" spans="1:96" s="4" customFormat="1" ht="12" customHeight="1" x14ac:dyDescent="0.3">
      <c r="B47" s="21"/>
      <c r="C47" s="21"/>
      <c r="D47" s="21"/>
      <c r="E47" s="21"/>
      <c r="F47" s="21"/>
      <c r="G47" s="21"/>
      <c r="H47" s="21"/>
      <c r="I47" s="21"/>
      <c r="J47" s="21"/>
      <c r="K47" s="21"/>
      <c r="L47" s="21"/>
      <c r="M47" s="21"/>
      <c r="N47" s="21"/>
      <c r="O47" s="21"/>
      <c r="P47" s="21"/>
      <c r="Q47" s="21"/>
      <c r="R47" s="21"/>
      <c r="S47" s="21"/>
      <c r="T47" s="21"/>
      <c r="X47" s="4">
        <f>V44/V46</f>
        <v>0.60671106299985844</v>
      </c>
      <c r="AB47" s="746" t="e">
        <f>#REF!</f>
        <v>#REF!</v>
      </c>
      <c r="AC47" s="746" t="e">
        <f>AB47</f>
        <v>#REF!</v>
      </c>
      <c r="AD47" s="746" t="e">
        <f>AC47</f>
        <v>#REF!</v>
      </c>
      <c r="AE47" s="746" t="e">
        <f>AD47</f>
        <v>#REF!</v>
      </c>
      <c r="AF47" s="746" t="e">
        <f>AE47</f>
        <v>#REF!</v>
      </c>
      <c r="AG47" s="746" t="e">
        <f>AF47</f>
        <v>#REF!</v>
      </c>
      <c r="AH47" s="746" t="e">
        <f>AG47</f>
        <v>#REF!</v>
      </c>
      <c r="AI47" s="746" t="e">
        <f>AH47</f>
        <v>#REF!</v>
      </c>
      <c r="AJ47" s="746" t="e">
        <f>AI47</f>
        <v>#REF!</v>
      </c>
      <c r="AK47" s="746" t="e">
        <f>AJ47</f>
        <v>#REF!</v>
      </c>
      <c r="AL47" s="746" t="e">
        <f>AK47</f>
        <v>#REF!</v>
      </c>
      <c r="AM47" s="746" t="e">
        <f>AL47</f>
        <v>#REF!</v>
      </c>
      <c r="AN47" s="746" t="e">
        <f>AM47</f>
        <v>#REF!</v>
      </c>
      <c r="AO47" s="746" t="e">
        <f>AN47</f>
        <v>#REF!</v>
      </c>
      <c r="AP47" s="746" t="e">
        <f>AO47</f>
        <v>#REF!</v>
      </c>
      <c r="AQ47" s="746" t="e">
        <f>AP47</f>
        <v>#REF!</v>
      </c>
      <c r="AR47" s="746" t="e">
        <f>AQ47</f>
        <v>#REF!</v>
      </c>
    </row>
    <row r="48" spans="1:96" s="4" customFormat="1" ht="12" customHeight="1" x14ac:dyDescent="0.3">
      <c r="B48" s="21"/>
      <c r="C48" s="21"/>
      <c r="D48" s="21"/>
      <c r="E48" s="21"/>
      <c r="F48" s="21"/>
      <c r="G48" s="21"/>
      <c r="H48" s="21"/>
      <c r="I48" s="21"/>
      <c r="J48" s="21"/>
      <c r="K48" s="21"/>
      <c r="L48" s="21"/>
      <c r="M48" s="21"/>
      <c r="N48" s="21"/>
      <c r="O48" s="21"/>
      <c r="P48" s="21"/>
      <c r="Q48" s="21"/>
      <c r="R48" s="21"/>
      <c r="S48" s="21"/>
      <c r="T48" s="21"/>
      <c r="AB48" s="746"/>
    </row>
    <row r="49" spans="1:97" s="108" customFormat="1" x14ac:dyDescent="0.3">
      <c r="A49" s="104" t="s">
        <v>183</v>
      </c>
      <c r="B49" s="105" t="s">
        <v>0</v>
      </c>
      <c r="C49" s="105" t="s">
        <v>1</v>
      </c>
      <c r="D49" s="105" t="s">
        <v>2</v>
      </c>
      <c r="E49" s="105" t="s">
        <v>3</v>
      </c>
      <c r="F49" s="105" t="s">
        <v>4</v>
      </c>
      <c r="G49" s="105" t="s">
        <v>5</v>
      </c>
      <c r="H49" s="105" t="s">
        <v>6</v>
      </c>
      <c r="I49" s="105" t="s">
        <v>7</v>
      </c>
      <c r="J49" s="105" t="s">
        <v>8</v>
      </c>
      <c r="K49" s="105" t="s">
        <v>9</v>
      </c>
      <c r="L49" s="105" t="s">
        <v>10</v>
      </c>
      <c r="M49" s="105" t="s">
        <v>11</v>
      </c>
      <c r="N49" s="105" t="s">
        <v>12</v>
      </c>
      <c r="O49" s="105" t="s">
        <v>13</v>
      </c>
      <c r="P49" s="105" t="s">
        <v>14</v>
      </c>
      <c r="Q49" s="105" t="s">
        <v>15</v>
      </c>
      <c r="R49" s="105" t="s">
        <v>16</v>
      </c>
      <c r="S49" s="105" t="s">
        <v>17</v>
      </c>
      <c r="T49" s="105" t="s">
        <v>18</v>
      </c>
      <c r="U49" s="105">
        <v>2017</v>
      </c>
      <c r="V49" s="107">
        <v>2018</v>
      </c>
      <c r="W49" s="107"/>
      <c r="X49" s="107"/>
      <c r="Y49" s="107"/>
      <c r="Z49" s="107"/>
      <c r="AA49" s="107"/>
      <c r="AB49" s="749">
        <v>2019</v>
      </c>
      <c r="AC49" s="749">
        <v>2020</v>
      </c>
      <c r="AD49" s="749">
        <v>2021</v>
      </c>
      <c r="AE49" s="749">
        <v>2022</v>
      </c>
      <c r="AF49" s="749">
        <v>2023</v>
      </c>
      <c r="AG49" s="749">
        <v>2024</v>
      </c>
      <c r="AH49" s="749">
        <v>2025</v>
      </c>
      <c r="AI49" s="749">
        <v>2026</v>
      </c>
      <c r="AJ49" s="749">
        <v>2027</v>
      </c>
      <c r="AK49" s="749">
        <v>2028</v>
      </c>
      <c r="AL49" s="749">
        <v>2029</v>
      </c>
      <c r="AM49" s="749">
        <v>2030</v>
      </c>
      <c r="AN49" s="749">
        <v>2031</v>
      </c>
      <c r="AO49" s="749">
        <v>2032</v>
      </c>
      <c r="AP49" s="749">
        <v>2033</v>
      </c>
      <c r="AQ49" s="749">
        <v>2034</v>
      </c>
      <c r="AR49" s="749">
        <v>2035</v>
      </c>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row>
    <row r="50" spans="1:97" x14ac:dyDescent="0.3">
      <c r="A50" s="31" t="s">
        <v>167</v>
      </c>
      <c r="B50" s="847">
        <v>65168</v>
      </c>
      <c r="C50" s="847">
        <v>65432</v>
      </c>
      <c r="D50" s="847">
        <v>76126</v>
      </c>
      <c r="E50" s="847">
        <v>75592</v>
      </c>
      <c r="F50" s="847">
        <v>72192</v>
      </c>
      <c r="G50" s="847">
        <v>77071</v>
      </c>
      <c r="H50" s="847">
        <v>79389</v>
      </c>
      <c r="I50" s="847">
        <v>90837</v>
      </c>
      <c r="J50" s="847">
        <v>91372</v>
      </c>
      <c r="K50" s="847">
        <v>94348</v>
      </c>
      <c r="L50" s="847">
        <v>109855</v>
      </c>
      <c r="M50" s="847">
        <v>101700</v>
      </c>
      <c r="N50" s="847">
        <v>122529</v>
      </c>
      <c r="O50" s="847">
        <v>140921</v>
      </c>
      <c r="P50" s="847">
        <v>146887</v>
      </c>
      <c r="Q50" s="847">
        <v>149167</v>
      </c>
      <c r="R50" s="847">
        <v>146244</v>
      </c>
      <c r="S50" s="847">
        <v>153088</v>
      </c>
      <c r="T50" s="847">
        <v>156368</v>
      </c>
      <c r="U50" s="847">
        <v>174658</v>
      </c>
      <c r="V50" s="847">
        <v>178440</v>
      </c>
      <c r="W50" s="92" t="s">
        <v>265</v>
      </c>
      <c r="X50" s="377">
        <v>43553</v>
      </c>
      <c r="AA50" s="899" t="s">
        <v>875</v>
      </c>
      <c r="AB50" s="748" t="e">
        <f>(V50*AB53)+V50</f>
        <v>#REF!</v>
      </c>
      <c r="AC50" s="106" t="e">
        <f t="shared" ref="AC50:AR51" si="13">(AB50*AB53)+AB50</f>
        <v>#REF!</v>
      </c>
      <c r="AD50" s="106" t="e">
        <f t="shared" si="13"/>
        <v>#REF!</v>
      </c>
      <c r="AE50" s="106" t="e">
        <f t="shared" si="13"/>
        <v>#REF!</v>
      </c>
      <c r="AF50" s="106" t="e">
        <f t="shared" si="13"/>
        <v>#REF!</v>
      </c>
      <c r="AG50" s="106" t="e">
        <f t="shared" si="13"/>
        <v>#REF!</v>
      </c>
      <c r="AH50" s="106" t="e">
        <f t="shared" si="13"/>
        <v>#REF!</v>
      </c>
      <c r="AI50" s="106" t="e">
        <f t="shared" si="13"/>
        <v>#REF!</v>
      </c>
      <c r="AJ50" s="106" t="e">
        <f t="shared" si="13"/>
        <v>#REF!</v>
      </c>
      <c r="AK50" s="106" t="e">
        <f t="shared" si="13"/>
        <v>#REF!</v>
      </c>
      <c r="AL50" s="106" t="e">
        <f t="shared" si="13"/>
        <v>#REF!</v>
      </c>
      <c r="AM50" s="106" t="e">
        <f t="shared" si="13"/>
        <v>#REF!</v>
      </c>
      <c r="AN50" s="106" t="e">
        <f t="shared" si="13"/>
        <v>#REF!</v>
      </c>
      <c r="AO50" s="106" t="e">
        <f t="shared" si="13"/>
        <v>#REF!</v>
      </c>
      <c r="AP50" s="106" t="e">
        <f t="shared" si="13"/>
        <v>#REF!</v>
      </c>
      <c r="AQ50" s="106" t="e">
        <f t="shared" si="13"/>
        <v>#REF!</v>
      </c>
      <c r="AR50" s="106" t="e">
        <f t="shared" si="13"/>
        <v>#REF!</v>
      </c>
    </row>
    <row r="51" spans="1:97" x14ac:dyDescent="0.3">
      <c r="A51" s="31" t="s">
        <v>168</v>
      </c>
      <c r="B51" s="847">
        <v>81014</v>
      </c>
      <c r="C51" s="847">
        <v>85968</v>
      </c>
      <c r="D51" s="847">
        <v>105151</v>
      </c>
      <c r="E51" s="847">
        <v>105078</v>
      </c>
      <c r="F51" s="847">
        <v>97508</v>
      </c>
      <c r="G51" s="847">
        <v>100218</v>
      </c>
      <c r="H51" s="847">
        <v>108684</v>
      </c>
      <c r="I51" s="847">
        <v>122806</v>
      </c>
      <c r="J51" s="847">
        <v>137041</v>
      </c>
      <c r="K51" s="847">
        <v>140420</v>
      </c>
      <c r="L51" s="847">
        <v>161130</v>
      </c>
      <c r="M51" s="847">
        <v>147441</v>
      </c>
      <c r="N51" s="847">
        <v>174569</v>
      </c>
      <c r="O51" s="847">
        <v>194382</v>
      </c>
      <c r="P51" s="847">
        <v>197290</v>
      </c>
      <c r="Q51" s="847">
        <v>200626</v>
      </c>
      <c r="R51" s="847">
        <v>190984</v>
      </c>
      <c r="S51" s="847">
        <v>184040</v>
      </c>
      <c r="T51" s="847">
        <v>194658</v>
      </c>
      <c r="U51" s="847">
        <v>216967</v>
      </c>
      <c r="V51" s="847">
        <v>223081</v>
      </c>
      <c r="W51" s="92" t="s">
        <v>265</v>
      </c>
      <c r="X51" s="899" t="s">
        <v>871</v>
      </c>
      <c r="AA51" s="899" t="s">
        <v>876</v>
      </c>
      <c r="AB51" s="748" t="e">
        <f>(V51*AB54)+V51</f>
        <v>#REF!</v>
      </c>
      <c r="AC51" s="106" t="e">
        <f t="shared" si="13"/>
        <v>#REF!</v>
      </c>
      <c r="AD51" s="106" t="e">
        <f t="shared" si="13"/>
        <v>#REF!</v>
      </c>
      <c r="AE51" s="106" t="e">
        <f t="shared" si="13"/>
        <v>#REF!</v>
      </c>
      <c r="AF51" s="106" t="e">
        <f t="shared" si="13"/>
        <v>#REF!</v>
      </c>
      <c r="AG51" s="106" t="e">
        <f t="shared" si="13"/>
        <v>#REF!</v>
      </c>
      <c r="AH51" s="106" t="e">
        <f t="shared" si="13"/>
        <v>#REF!</v>
      </c>
      <c r="AI51" s="106" t="e">
        <f t="shared" si="13"/>
        <v>#REF!</v>
      </c>
      <c r="AJ51" s="106" t="e">
        <f t="shared" si="13"/>
        <v>#REF!</v>
      </c>
      <c r="AK51" s="106" t="e">
        <f t="shared" si="13"/>
        <v>#REF!</v>
      </c>
      <c r="AL51" s="106" t="e">
        <f t="shared" si="13"/>
        <v>#REF!</v>
      </c>
      <c r="AM51" s="106" t="e">
        <f t="shared" si="13"/>
        <v>#REF!</v>
      </c>
      <c r="AN51" s="106" t="e">
        <f t="shared" si="13"/>
        <v>#REF!</v>
      </c>
      <c r="AO51" s="106" t="e">
        <f t="shared" si="13"/>
        <v>#REF!</v>
      </c>
      <c r="AP51" s="106" t="e">
        <f t="shared" si="13"/>
        <v>#REF!</v>
      </c>
      <c r="AQ51" s="106" t="e">
        <f t="shared" si="13"/>
        <v>#REF!</v>
      </c>
      <c r="AR51" s="106" t="e">
        <f t="shared" si="13"/>
        <v>#REF!</v>
      </c>
    </row>
    <row r="52" spans="1:97" s="2" customFormat="1" ht="12" customHeight="1" x14ac:dyDescent="0.3">
      <c r="A52" s="37" t="s">
        <v>34</v>
      </c>
      <c r="B52" s="98">
        <f t="shared" ref="B52:T52" si="14">B50-B51</f>
        <v>-15846</v>
      </c>
      <c r="C52" s="98">
        <f t="shared" si="14"/>
        <v>-20536</v>
      </c>
      <c r="D52" s="98">
        <f t="shared" si="14"/>
        <v>-29025</v>
      </c>
      <c r="E52" s="98">
        <f t="shared" si="14"/>
        <v>-29486</v>
      </c>
      <c r="F52" s="98">
        <f t="shared" si="14"/>
        <v>-25316</v>
      </c>
      <c r="G52" s="98">
        <f t="shared" si="14"/>
        <v>-23147</v>
      </c>
      <c r="H52" s="98">
        <f t="shared" si="14"/>
        <v>-29295</v>
      </c>
      <c r="I52" s="98">
        <f t="shared" si="14"/>
        <v>-31969</v>
      </c>
      <c r="J52" s="98">
        <f t="shared" si="14"/>
        <v>-45669</v>
      </c>
      <c r="K52" s="98">
        <f t="shared" si="14"/>
        <v>-46072</v>
      </c>
      <c r="L52" s="98">
        <f t="shared" si="14"/>
        <v>-51275</v>
      </c>
      <c r="M52" s="98">
        <f t="shared" si="14"/>
        <v>-45741</v>
      </c>
      <c r="N52" s="98">
        <f t="shared" si="14"/>
        <v>-52040</v>
      </c>
      <c r="O52" s="98">
        <f t="shared" si="14"/>
        <v>-53461</v>
      </c>
      <c r="P52" s="98">
        <f t="shared" si="14"/>
        <v>-50403</v>
      </c>
      <c r="Q52" s="98">
        <f t="shared" si="14"/>
        <v>-51459</v>
      </c>
      <c r="R52" s="98">
        <f t="shared" si="14"/>
        <v>-44740</v>
      </c>
      <c r="S52" s="98">
        <f t="shared" si="14"/>
        <v>-30952</v>
      </c>
      <c r="T52" s="98">
        <f t="shared" si="14"/>
        <v>-38290</v>
      </c>
      <c r="U52" s="98">
        <f>U50-U51</f>
        <v>-42309</v>
      </c>
      <c r="V52" s="4">
        <f>V50-V51</f>
        <v>-44641</v>
      </c>
      <c r="W52" s="4"/>
      <c r="X52" s="4"/>
      <c r="Y52" s="4"/>
      <c r="Z52" s="4"/>
      <c r="AA52" s="4" t="s">
        <v>877</v>
      </c>
      <c r="AB52" s="747" t="e">
        <f>(AB50-AB51)/1000</f>
        <v>#REF!</v>
      </c>
      <c r="AC52" s="747" t="e">
        <f t="shared" ref="AC52:AR52" si="15">(AC50-AC51)/1000</f>
        <v>#REF!</v>
      </c>
      <c r="AD52" s="747" t="e">
        <f t="shared" si="15"/>
        <v>#REF!</v>
      </c>
      <c r="AE52" s="747" t="e">
        <f t="shared" si="15"/>
        <v>#REF!</v>
      </c>
      <c r="AF52" s="747" t="e">
        <f t="shared" si="15"/>
        <v>#REF!</v>
      </c>
      <c r="AG52" s="747" t="e">
        <f t="shared" si="15"/>
        <v>#REF!</v>
      </c>
      <c r="AH52" s="747" t="e">
        <f t="shared" si="15"/>
        <v>#REF!</v>
      </c>
      <c r="AI52" s="747" t="e">
        <f t="shared" si="15"/>
        <v>#REF!</v>
      </c>
      <c r="AJ52" s="747" t="e">
        <f t="shared" si="15"/>
        <v>#REF!</v>
      </c>
      <c r="AK52" s="747" t="e">
        <f t="shared" si="15"/>
        <v>#REF!</v>
      </c>
      <c r="AL52" s="747" t="e">
        <f t="shared" si="15"/>
        <v>#REF!</v>
      </c>
      <c r="AM52" s="747" t="e">
        <f t="shared" si="15"/>
        <v>#REF!</v>
      </c>
      <c r="AN52" s="747" t="e">
        <f t="shared" si="15"/>
        <v>#REF!</v>
      </c>
      <c r="AO52" s="747" t="e">
        <f t="shared" si="15"/>
        <v>#REF!</v>
      </c>
      <c r="AP52" s="747" t="e">
        <f t="shared" si="15"/>
        <v>#REF!</v>
      </c>
      <c r="AQ52" s="747" t="e">
        <f t="shared" si="15"/>
        <v>#REF!</v>
      </c>
      <c r="AR52" s="747" t="e">
        <f t="shared" si="15"/>
        <v>#REF!</v>
      </c>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row>
    <row r="53" spans="1:97" x14ac:dyDescent="0.3">
      <c r="C53" s="899" t="s">
        <v>530</v>
      </c>
      <c r="U53" s="598">
        <f>U50+U51</f>
        <v>391625</v>
      </c>
      <c r="AB53" s="10" t="e">
        <f>#REF!</f>
        <v>#REF!</v>
      </c>
      <c r="AC53" s="10" t="e">
        <f t="shared" ref="AC53:AR54" si="16">AB53</f>
        <v>#REF!</v>
      </c>
      <c r="AD53" s="10" t="e">
        <f t="shared" si="16"/>
        <v>#REF!</v>
      </c>
      <c r="AE53" s="10" t="e">
        <f t="shared" si="16"/>
        <v>#REF!</v>
      </c>
      <c r="AF53" s="10" t="e">
        <f t="shared" si="16"/>
        <v>#REF!</v>
      </c>
      <c r="AG53" s="10" t="e">
        <f t="shared" si="16"/>
        <v>#REF!</v>
      </c>
      <c r="AH53" s="10" t="e">
        <f t="shared" si="16"/>
        <v>#REF!</v>
      </c>
      <c r="AI53" s="10" t="e">
        <f t="shared" si="16"/>
        <v>#REF!</v>
      </c>
      <c r="AJ53" s="10" t="e">
        <f t="shared" si="16"/>
        <v>#REF!</v>
      </c>
      <c r="AK53" s="10" t="e">
        <f t="shared" si="16"/>
        <v>#REF!</v>
      </c>
      <c r="AL53" s="10" t="e">
        <f t="shared" si="16"/>
        <v>#REF!</v>
      </c>
      <c r="AM53" s="10" t="e">
        <f t="shared" si="16"/>
        <v>#REF!</v>
      </c>
      <c r="AN53" s="10" t="e">
        <f t="shared" si="16"/>
        <v>#REF!</v>
      </c>
      <c r="AO53" s="10" t="e">
        <f t="shared" si="16"/>
        <v>#REF!</v>
      </c>
      <c r="AP53" s="10" t="e">
        <f t="shared" si="16"/>
        <v>#REF!</v>
      </c>
      <c r="AQ53" s="10" t="e">
        <f t="shared" si="16"/>
        <v>#REF!</v>
      </c>
      <c r="AR53" s="10" t="e">
        <f t="shared" si="16"/>
        <v>#REF!</v>
      </c>
    </row>
    <row r="54" spans="1:97" s="846" customFormat="1" x14ac:dyDescent="0.3">
      <c r="A54" s="846" t="s">
        <v>212</v>
      </c>
      <c r="W54" s="846" t="s">
        <v>646</v>
      </c>
      <c r="AB54" s="10" t="e">
        <f>#REF!</f>
        <v>#REF!</v>
      </c>
      <c r="AC54" s="10" t="e">
        <f t="shared" si="16"/>
        <v>#REF!</v>
      </c>
      <c r="AD54" s="10" t="e">
        <f t="shared" si="16"/>
        <v>#REF!</v>
      </c>
      <c r="AE54" s="10" t="e">
        <f t="shared" si="16"/>
        <v>#REF!</v>
      </c>
      <c r="AF54" s="10" t="e">
        <f t="shared" si="16"/>
        <v>#REF!</v>
      </c>
      <c r="AG54" s="10" t="e">
        <f t="shared" si="16"/>
        <v>#REF!</v>
      </c>
      <c r="AH54" s="10" t="e">
        <f t="shared" si="16"/>
        <v>#REF!</v>
      </c>
      <c r="AI54" s="10" t="e">
        <f t="shared" si="16"/>
        <v>#REF!</v>
      </c>
      <c r="AJ54" s="10" t="e">
        <f t="shared" si="16"/>
        <v>#REF!</v>
      </c>
      <c r="AK54" s="10" t="e">
        <f t="shared" si="16"/>
        <v>#REF!</v>
      </c>
      <c r="AL54" s="10" t="e">
        <f t="shared" si="16"/>
        <v>#REF!</v>
      </c>
      <c r="AM54" s="10" t="e">
        <f t="shared" si="16"/>
        <v>#REF!</v>
      </c>
      <c r="AN54" s="10" t="e">
        <f t="shared" si="16"/>
        <v>#REF!</v>
      </c>
      <c r="AO54" s="10" t="e">
        <f t="shared" si="16"/>
        <v>#REF!</v>
      </c>
      <c r="AP54" s="10" t="e">
        <f t="shared" si="16"/>
        <v>#REF!</v>
      </c>
      <c r="AQ54" s="10" t="e">
        <f t="shared" si="16"/>
        <v>#REF!</v>
      </c>
      <c r="AR54" s="10" t="e">
        <f t="shared" si="16"/>
        <v>#REF!</v>
      </c>
    </row>
    <row r="55" spans="1:97" x14ac:dyDescent="0.3">
      <c r="A55" s="123" t="s">
        <v>213</v>
      </c>
      <c r="B55" s="124" t="s">
        <v>270</v>
      </c>
      <c r="C55" s="124" t="s">
        <v>271</v>
      </c>
      <c r="H55" s="899">
        <v>50</v>
      </c>
      <c r="I55" s="899">
        <v>4.2</v>
      </c>
      <c r="R55" s="572" t="s">
        <v>644</v>
      </c>
      <c r="S55" s="570">
        <f>S43/(S50+S43)</f>
        <v>0.46613101216382102</v>
      </c>
      <c r="T55" s="566">
        <f>T43/(T50+T43)</f>
        <v>0.47715775078325356</v>
      </c>
      <c r="U55" s="567">
        <f>U43/(U50+U43)</f>
        <v>0.48438768491375367</v>
      </c>
      <c r="V55" s="566">
        <f>V43/(V50+V43)</f>
        <v>0.4911179491859427</v>
      </c>
      <c r="W55" s="573">
        <f>(S55+T55+U55)/3</f>
        <v>0.47589214928694273</v>
      </c>
      <c r="AB55" s="4"/>
      <c r="AC55" s="4"/>
      <c r="AD55" s="4"/>
      <c r="AE55" s="4"/>
      <c r="AF55" s="4"/>
      <c r="AG55" s="4"/>
      <c r="AH55" s="4"/>
      <c r="AI55" s="4"/>
      <c r="AJ55" s="4"/>
      <c r="AK55" s="4"/>
      <c r="AL55" s="4"/>
      <c r="AM55" s="4"/>
      <c r="AN55" s="4"/>
      <c r="AO55" s="4"/>
      <c r="AP55" s="4"/>
      <c r="AQ55" s="4"/>
      <c r="AR55" s="4"/>
    </row>
    <row r="56" spans="1:97" x14ac:dyDescent="0.3">
      <c r="A56" s="132" t="s">
        <v>718</v>
      </c>
      <c r="B56" s="170">
        <v>0.39</v>
      </c>
      <c r="C56" s="170">
        <f>B56*4</f>
        <v>1.56</v>
      </c>
      <c r="D56" s="92" t="s">
        <v>179</v>
      </c>
      <c r="E56" s="899" t="s">
        <v>214</v>
      </c>
      <c r="H56" s="899">
        <f>H55/I55</f>
        <v>11.904761904761905</v>
      </c>
      <c r="R56" s="296" t="s">
        <v>645</v>
      </c>
      <c r="S56" s="571">
        <f>1-S55</f>
        <v>0.53386898783617898</v>
      </c>
      <c r="T56" s="568">
        <f>1-T55</f>
        <v>0.52284224921674638</v>
      </c>
      <c r="U56" s="569">
        <f>1-U55</f>
        <v>0.51561231508624639</v>
      </c>
      <c r="V56" s="568">
        <f>1-V55</f>
        <v>0.50888205081405724</v>
      </c>
      <c r="W56" s="574">
        <f>(S56+T56+U56)/3</f>
        <v>0.52410785071305721</v>
      </c>
      <c r="AB56" s="899" t="e">
        <f t="shared" ref="AB56:AR56" si="17">AB43+AB50</f>
        <v>#REF!</v>
      </c>
      <c r="AC56" s="899" t="e">
        <f t="shared" si="17"/>
        <v>#REF!</v>
      </c>
      <c r="AD56" s="899" t="e">
        <f t="shared" si="17"/>
        <v>#REF!</v>
      </c>
      <c r="AE56" s="899" t="e">
        <f t="shared" si="17"/>
        <v>#REF!</v>
      </c>
      <c r="AF56" s="899" t="e">
        <f t="shared" si="17"/>
        <v>#REF!</v>
      </c>
      <c r="AG56" s="899" t="e">
        <f t="shared" si="17"/>
        <v>#REF!</v>
      </c>
      <c r="AH56" s="899" t="e">
        <f t="shared" si="17"/>
        <v>#REF!</v>
      </c>
      <c r="AI56" s="899" t="e">
        <f t="shared" si="17"/>
        <v>#REF!</v>
      </c>
      <c r="AJ56" s="899" t="e">
        <f t="shared" si="17"/>
        <v>#REF!</v>
      </c>
      <c r="AK56" s="899" t="e">
        <f t="shared" si="17"/>
        <v>#REF!</v>
      </c>
      <c r="AL56" s="899" t="e">
        <f t="shared" si="17"/>
        <v>#REF!</v>
      </c>
      <c r="AM56" s="899" t="e">
        <f t="shared" si="17"/>
        <v>#REF!</v>
      </c>
      <c r="AN56" s="899" t="e">
        <f t="shared" si="17"/>
        <v>#REF!</v>
      </c>
      <c r="AO56" s="899" t="e">
        <f t="shared" si="17"/>
        <v>#REF!</v>
      </c>
      <c r="AP56" s="899" t="e">
        <f t="shared" si="17"/>
        <v>#REF!</v>
      </c>
      <c r="AQ56" s="899" t="e">
        <f t="shared" si="17"/>
        <v>#REF!</v>
      </c>
      <c r="AR56" s="899" t="e">
        <f t="shared" si="17"/>
        <v>#REF!</v>
      </c>
    </row>
    <row r="57" spans="1:97" x14ac:dyDescent="0.3">
      <c r="A57" s="132" t="s">
        <v>273</v>
      </c>
      <c r="B57" s="170" t="s">
        <v>272</v>
      </c>
      <c r="C57" s="170">
        <v>2.4500000000000002</v>
      </c>
      <c r="D57" s="92" t="s">
        <v>179</v>
      </c>
      <c r="E57" s="899" t="s">
        <v>214</v>
      </c>
      <c r="AA57" s="899" t="s">
        <v>873</v>
      </c>
      <c r="AB57" s="602" t="e">
        <f t="shared" ref="AB57:AR57" si="18">AB43/AB56</f>
        <v>#REF!</v>
      </c>
      <c r="AC57" s="602" t="e">
        <f t="shared" si="18"/>
        <v>#REF!</v>
      </c>
      <c r="AD57" s="602" t="e">
        <f t="shared" si="18"/>
        <v>#REF!</v>
      </c>
      <c r="AE57" s="602" t="e">
        <f t="shared" si="18"/>
        <v>#REF!</v>
      </c>
      <c r="AF57" s="602" t="e">
        <f t="shared" si="18"/>
        <v>#REF!</v>
      </c>
      <c r="AG57" s="602" t="e">
        <f t="shared" si="18"/>
        <v>#REF!</v>
      </c>
      <c r="AH57" s="602" t="e">
        <f t="shared" si="18"/>
        <v>#REF!</v>
      </c>
      <c r="AI57" s="602" t="e">
        <f t="shared" si="18"/>
        <v>#REF!</v>
      </c>
      <c r="AJ57" s="602" t="e">
        <f t="shared" si="18"/>
        <v>#REF!</v>
      </c>
      <c r="AK57" s="602" t="e">
        <f t="shared" si="18"/>
        <v>#REF!</v>
      </c>
      <c r="AL57" s="602" t="e">
        <f t="shared" si="18"/>
        <v>#REF!</v>
      </c>
      <c r="AM57" s="602" t="e">
        <f t="shared" si="18"/>
        <v>#REF!</v>
      </c>
      <c r="AN57" s="602" t="e">
        <f t="shared" si="18"/>
        <v>#REF!</v>
      </c>
      <c r="AO57" s="602" t="e">
        <f t="shared" si="18"/>
        <v>#REF!</v>
      </c>
      <c r="AP57" s="602" t="e">
        <f t="shared" si="18"/>
        <v>#REF!</v>
      </c>
      <c r="AQ57" s="602" t="e">
        <f t="shared" si="18"/>
        <v>#REF!</v>
      </c>
      <c r="AR57" s="602" t="e">
        <f t="shared" si="18"/>
        <v>#REF!</v>
      </c>
    </row>
    <row r="58" spans="1:97" x14ac:dyDescent="0.3">
      <c r="S58" s="899">
        <f>S43+S50</f>
        <v>286752</v>
      </c>
    </row>
    <row r="60" spans="1:97" ht="24.6" customHeight="1" x14ac:dyDescent="0.35">
      <c r="A60" s="201" t="s">
        <v>640</v>
      </c>
    </row>
    <row r="61" spans="1:97" ht="18" x14ac:dyDescent="0.35">
      <c r="A61" s="201" t="s">
        <v>686</v>
      </c>
    </row>
    <row r="62" spans="1:97" ht="28.95" customHeight="1" thickBot="1" x14ac:dyDescent="0.35">
      <c r="A62" s="976" t="s">
        <v>687</v>
      </c>
      <c r="B62" s="976"/>
      <c r="C62" s="976"/>
      <c r="D62" s="976"/>
      <c r="E62" s="976"/>
      <c r="F62" s="976"/>
      <c r="G62" s="976"/>
      <c r="H62" s="949"/>
      <c r="I62" s="949"/>
      <c r="J62" s="949"/>
    </row>
    <row r="63" spans="1:97" s="106" customFormat="1" x14ac:dyDescent="0.3">
      <c r="A63" s="378" t="s">
        <v>48</v>
      </c>
      <c r="B63" s="622" t="s">
        <v>0</v>
      </c>
      <c r="C63" s="379" t="s">
        <v>1</v>
      </c>
      <c r="D63" s="379" t="s">
        <v>2</v>
      </c>
      <c r="E63" s="379">
        <v>2001</v>
      </c>
      <c r="F63" s="379" t="s">
        <v>4</v>
      </c>
      <c r="G63" s="379" t="s">
        <v>5</v>
      </c>
      <c r="H63" s="379" t="s">
        <v>6</v>
      </c>
      <c r="I63" s="379" t="s">
        <v>7</v>
      </c>
      <c r="J63" s="379" t="s">
        <v>8</v>
      </c>
      <c r="K63" s="379" t="s">
        <v>9</v>
      </c>
      <c r="L63" s="379" t="s">
        <v>10</v>
      </c>
      <c r="M63" s="379" t="s">
        <v>11</v>
      </c>
      <c r="N63" s="379" t="s">
        <v>12</v>
      </c>
      <c r="O63" s="379" t="s">
        <v>13</v>
      </c>
      <c r="P63" s="379" t="s">
        <v>14</v>
      </c>
      <c r="Q63" s="379" t="s">
        <v>15</v>
      </c>
      <c r="R63" s="379" t="s">
        <v>16</v>
      </c>
      <c r="S63" s="379" t="s">
        <v>17</v>
      </c>
      <c r="T63" s="379" t="s">
        <v>18</v>
      </c>
      <c r="U63" s="379">
        <v>2017</v>
      </c>
      <c r="V63" s="382">
        <v>2018</v>
      </c>
      <c r="AB63" s="899"/>
      <c r="AC63" s="899"/>
      <c r="AD63" s="899"/>
      <c r="AE63" s="899"/>
      <c r="AF63" s="899"/>
      <c r="AG63" s="899"/>
      <c r="AH63" s="899"/>
      <c r="AI63" s="899"/>
      <c r="AJ63" s="899"/>
      <c r="AK63" s="899"/>
      <c r="AL63" s="899"/>
      <c r="AM63" s="899"/>
      <c r="AN63" s="899"/>
      <c r="AO63" s="899"/>
      <c r="AP63" s="899"/>
      <c r="AQ63" s="899"/>
      <c r="AR63" s="899"/>
    </row>
    <row r="64" spans="1:97" x14ac:dyDescent="0.3">
      <c r="A64" s="380" t="s">
        <v>481</v>
      </c>
      <c r="B64" s="137">
        <v>80.099999999999994</v>
      </c>
      <c r="C64" s="623">
        <v>79.599999999999994</v>
      </c>
      <c r="D64" s="623">
        <v>81.7</v>
      </c>
      <c r="E64" s="623">
        <v>81.599999999999994</v>
      </c>
      <c r="F64" s="623">
        <v>79.3</v>
      </c>
      <c r="G64" s="623">
        <v>79.400000000000006</v>
      </c>
      <c r="H64" s="623">
        <v>78.3</v>
      </c>
      <c r="I64" s="623">
        <v>81</v>
      </c>
      <c r="J64" s="623">
        <v>83.1</v>
      </c>
      <c r="K64" s="623">
        <v>83.6</v>
      </c>
      <c r="L64" s="623">
        <v>93.9</v>
      </c>
      <c r="M64" s="623">
        <v>95.8</v>
      </c>
      <c r="N64" s="623">
        <v>99.2</v>
      </c>
      <c r="O64" s="623">
        <v>106.1</v>
      </c>
      <c r="P64" s="623">
        <v>105.3</v>
      </c>
      <c r="Q64" s="623">
        <v>106.3</v>
      </c>
      <c r="R64" s="623">
        <v>101.9</v>
      </c>
      <c r="S64" s="623">
        <v>96</v>
      </c>
      <c r="T64" s="623">
        <v>100</v>
      </c>
      <c r="U64" s="119">
        <v>105.4</v>
      </c>
      <c r="V64" s="142">
        <v>108.6</v>
      </c>
    </row>
    <row r="65" spans="1:44" x14ac:dyDescent="0.3">
      <c r="A65" s="624" t="s">
        <v>483</v>
      </c>
      <c r="B65" s="197">
        <f>B64/100</f>
        <v>0.80099999999999993</v>
      </c>
      <c r="C65" s="190">
        <f>C64/100</f>
        <v>0.79599999999999993</v>
      </c>
      <c r="D65" s="190">
        <f>D64/100</f>
        <v>0.81700000000000006</v>
      </c>
      <c r="E65" s="190">
        <f>E64/100</f>
        <v>0.81599999999999995</v>
      </c>
      <c r="F65" s="190">
        <f t="shared" ref="F65:V65" si="19">F64/100</f>
        <v>0.79299999999999993</v>
      </c>
      <c r="G65" s="190">
        <f t="shared" si="19"/>
        <v>0.79400000000000004</v>
      </c>
      <c r="H65" s="190">
        <f t="shared" si="19"/>
        <v>0.78299999999999992</v>
      </c>
      <c r="I65" s="190">
        <f t="shared" si="19"/>
        <v>0.81</v>
      </c>
      <c r="J65" s="190">
        <f t="shared" si="19"/>
        <v>0.83099999999999996</v>
      </c>
      <c r="K65" s="190">
        <f t="shared" si="19"/>
        <v>0.83599999999999997</v>
      </c>
      <c r="L65" s="190">
        <f t="shared" si="19"/>
        <v>0.93900000000000006</v>
      </c>
      <c r="M65" s="190">
        <f t="shared" si="19"/>
        <v>0.95799999999999996</v>
      </c>
      <c r="N65" s="190">
        <f t="shared" si="19"/>
        <v>0.99199999999999999</v>
      </c>
      <c r="O65" s="190">
        <f t="shared" si="19"/>
        <v>1.0609999999999999</v>
      </c>
      <c r="P65" s="190">
        <f t="shared" si="19"/>
        <v>1.0529999999999999</v>
      </c>
      <c r="Q65" s="190">
        <f t="shared" si="19"/>
        <v>1.0629999999999999</v>
      </c>
      <c r="R65" s="190">
        <f t="shared" si="19"/>
        <v>1.0190000000000001</v>
      </c>
      <c r="S65" s="190">
        <f t="shared" si="19"/>
        <v>0.96</v>
      </c>
      <c r="T65" s="190">
        <f t="shared" si="19"/>
        <v>1</v>
      </c>
      <c r="U65" s="190">
        <f>U64/100</f>
        <v>1.054</v>
      </c>
      <c r="V65" s="191">
        <f t="shared" si="19"/>
        <v>1.0859999999999999</v>
      </c>
    </row>
    <row r="66" spans="1:44" x14ac:dyDescent="0.3">
      <c r="A66" s="454" t="s">
        <v>482</v>
      </c>
      <c r="B66" s="137">
        <v>73.900000000000006</v>
      </c>
      <c r="C66" s="623">
        <v>74.2</v>
      </c>
      <c r="D66" s="623">
        <v>76</v>
      </c>
      <c r="E66" s="623">
        <v>76.5</v>
      </c>
      <c r="F66" s="623">
        <v>75.400000000000006</v>
      </c>
      <c r="G66" s="623">
        <v>76.599999999999994</v>
      </c>
      <c r="H66" s="623">
        <v>76</v>
      </c>
      <c r="I66" s="623">
        <v>78.599999999999994</v>
      </c>
      <c r="J66" s="623">
        <v>80.099999999999994</v>
      </c>
      <c r="K66" s="623">
        <v>79.2</v>
      </c>
      <c r="L66" s="623">
        <v>86.9</v>
      </c>
      <c r="M66" s="623">
        <v>90.2</v>
      </c>
      <c r="N66" s="623">
        <v>94.9</v>
      </c>
      <c r="O66" s="623">
        <v>99.8</v>
      </c>
      <c r="P66" s="623">
        <v>99.3</v>
      </c>
      <c r="Q66" s="623">
        <v>101.5</v>
      </c>
      <c r="R66" s="623">
        <v>98.6</v>
      </c>
      <c r="S66" s="623">
        <v>94.3</v>
      </c>
      <c r="T66" s="623">
        <v>100</v>
      </c>
      <c r="U66" s="119">
        <v>105</v>
      </c>
      <c r="V66" s="142">
        <v>107.7</v>
      </c>
      <c r="AB66" s="106"/>
      <c r="AC66" s="106"/>
      <c r="AD66" s="106"/>
      <c r="AE66" s="106"/>
      <c r="AF66" s="106"/>
      <c r="AG66" s="106"/>
      <c r="AH66" s="106"/>
      <c r="AI66" s="106"/>
      <c r="AJ66" s="106"/>
      <c r="AK66" s="106"/>
      <c r="AL66" s="106"/>
      <c r="AM66" s="106"/>
      <c r="AN66" s="106"/>
      <c r="AO66" s="106"/>
      <c r="AP66" s="106"/>
      <c r="AQ66" s="106"/>
      <c r="AR66" s="106"/>
    </row>
    <row r="67" spans="1:44" ht="15" thickBot="1" x14ac:dyDescent="0.35">
      <c r="A67" s="456" t="s">
        <v>484</v>
      </c>
      <c r="B67" s="625">
        <f>B66/100</f>
        <v>0.7390000000000001</v>
      </c>
      <c r="C67" s="626">
        <f>C66/100</f>
        <v>0.74199999999999999</v>
      </c>
      <c r="D67" s="626">
        <f>D66/100</f>
        <v>0.76</v>
      </c>
      <c r="E67" s="626">
        <f>E66/100</f>
        <v>0.76500000000000001</v>
      </c>
      <c r="F67" s="626">
        <f t="shared" ref="F67:V67" si="20">F66/100</f>
        <v>0.754</v>
      </c>
      <c r="G67" s="626">
        <f t="shared" si="20"/>
        <v>0.7659999999999999</v>
      </c>
      <c r="H67" s="626">
        <f t="shared" si="20"/>
        <v>0.76</v>
      </c>
      <c r="I67" s="626">
        <f t="shared" si="20"/>
        <v>0.78599999999999992</v>
      </c>
      <c r="J67" s="626">
        <f t="shared" si="20"/>
        <v>0.80099999999999993</v>
      </c>
      <c r="K67" s="626">
        <f t="shared" si="20"/>
        <v>0.79200000000000004</v>
      </c>
      <c r="L67" s="626">
        <f t="shared" si="20"/>
        <v>0.86900000000000011</v>
      </c>
      <c r="M67" s="626">
        <f t="shared" si="20"/>
        <v>0.90200000000000002</v>
      </c>
      <c r="N67" s="626">
        <f t="shared" si="20"/>
        <v>0.94900000000000007</v>
      </c>
      <c r="O67" s="626">
        <f t="shared" si="20"/>
        <v>0.998</v>
      </c>
      <c r="P67" s="626">
        <f t="shared" si="20"/>
        <v>0.99299999999999999</v>
      </c>
      <c r="Q67" s="626">
        <f t="shared" si="20"/>
        <v>1.0149999999999999</v>
      </c>
      <c r="R67" s="626">
        <f t="shared" si="20"/>
        <v>0.98599999999999999</v>
      </c>
      <c r="S67" s="626">
        <f t="shared" si="20"/>
        <v>0.94299999999999995</v>
      </c>
      <c r="T67" s="626">
        <f t="shared" si="20"/>
        <v>1</v>
      </c>
      <c r="U67" s="626">
        <f>U66/100</f>
        <v>1.05</v>
      </c>
      <c r="V67" s="627">
        <f t="shared" si="20"/>
        <v>1.077</v>
      </c>
    </row>
    <row r="69" spans="1:44" x14ac:dyDescent="0.3">
      <c r="A69" s="92" t="s">
        <v>482</v>
      </c>
    </row>
    <row r="70" spans="1:44" x14ac:dyDescent="0.3">
      <c r="A70" s="92" t="s">
        <v>481</v>
      </c>
    </row>
    <row r="71" spans="1:44" ht="46.8" customHeight="1" x14ac:dyDescent="0.3">
      <c r="A71" s="971" t="s">
        <v>558</v>
      </c>
      <c r="B71" s="971"/>
      <c r="C71" s="971"/>
      <c r="D71" s="971"/>
      <c r="E71" s="971"/>
      <c r="F71" s="971"/>
      <c r="G71" s="971"/>
      <c r="H71" s="971"/>
      <c r="I71" s="971"/>
      <c r="J71" s="971"/>
      <c r="K71" s="971"/>
      <c r="L71" s="971"/>
      <c r="M71" s="971"/>
    </row>
    <row r="72" spans="1:44" x14ac:dyDescent="0.3">
      <c r="A72" s="92"/>
    </row>
    <row r="73" spans="1:44" ht="18" x14ac:dyDescent="0.35">
      <c r="A73" s="201" t="s">
        <v>515</v>
      </c>
    </row>
    <row r="74" spans="1:44" x14ac:dyDescent="0.3">
      <c r="A74" s="2" t="s">
        <v>516</v>
      </c>
    </row>
    <row r="75" spans="1:44" x14ac:dyDescent="0.3">
      <c r="A75" s="325" t="s">
        <v>265</v>
      </c>
    </row>
    <row r="76" spans="1:44" s="106" customFormat="1" x14ac:dyDescent="0.3">
      <c r="A76" s="104" t="s">
        <v>48</v>
      </c>
      <c r="B76" s="105" t="s">
        <v>1</v>
      </c>
      <c r="C76" s="105" t="s">
        <v>2</v>
      </c>
      <c r="D76" s="105">
        <v>2001</v>
      </c>
      <c r="E76" s="105" t="s">
        <v>4</v>
      </c>
      <c r="F76" s="105" t="s">
        <v>5</v>
      </c>
      <c r="G76" s="105" t="s">
        <v>6</v>
      </c>
      <c r="H76" s="105" t="s">
        <v>7</v>
      </c>
      <c r="I76" s="105" t="s">
        <v>8</v>
      </c>
      <c r="J76" s="105" t="s">
        <v>9</v>
      </c>
      <c r="K76" s="105" t="s">
        <v>10</v>
      </c>
      <c r="L76" s="105" t="s">
        <v>11</v>
      </c>
      <c r="M76" s="105" t="s">
        <v>12</v>
      </c>
      <c r="N76" s="105" t="s">
        <v>13</v>
      </c>
      <c r="O76" s="105" t="s">
        <v>14</v>
      </c>
      <c r="P76" s="105" t="s">
        <v>15</v>
      </c>
      <c r="Q76" s="105" t="s">
        <v>16</v>
      </c>
      <c r="R76" s="105" t="s">
        <v>17</v>
      </c>
      <c r="S76" s="105" t="s">
        <v>18</v>
      </c>
      <c r="AB76" s="899"/>
      <c r="AC76" s="899"/>
      <c r="AD76" s="899"/>
      <c r="AE76" s="899"/>
      <c r="AF76" s="899"/>
      <c r="AG76" s="899"/>
      <c r="AH76" s="899"/>
      <c r="AI76" s="899"/>
      <c r="AJ76" s="899"/>
      <c r="AK76" s="899"/>
      <c r="AL76" s="899"/>
      <c r="AM76" s="899"/>
      <c r="AN76" s="899"/>
      <c r="AO76" s="899"/>
      <c r="AP76" s="899"/>
      <c r="AQ76" s="899"/>
      <c r="AR76" s="899"/>
    </row>
    <row r="77" spans="1:44" x14ac:dyDescent="0.3">
      <c r="A77" s="31" t="s">
        <v>460</v>
      </c>
      <c r="B77" s="899">
        <v>71.212000000000003</v>
      </c>
      <c r="C77" s="899">
        <v>72.727000000000004</v>
      </c>
      <c r="D77" s="899">
        <v>73.620999999999995</v>
      </c>
      <c r="E77" s="899">
        <v>75.343999999999994</v>
      </c>
      <c r="F77" s="899">
        <v>76.992999999999995</v>
      </c>
      <c r="G77" s="899">
        <v>79.135999999999996</v>
      </c>
      <c r="H77" s="899">
        <v>81.200999999999993</v>
      </c>
      <c r="I77" s="899">
        <v>83.745000000000005</v>
      </c>
      <c r="J77" s="899">
        <v>85.823999999999998</v>
      </c>
      <c r="K77" s="899">
        <v>88.055999999999997</v>
      </c>
      <c r="L77" s="899">
        <v>89.334999999999994</v>
      </c>
      <c r="M77" s="899">
        <v>90.966999999999999</v>
      </c>
      <c r="N77" s="899">
        <v>92.278000000000006</v>
      </c>
      <c r="O77" s="899">
        <v>94.194999999999993</v>
      </c>
      <c r="P77" s="899">
        <v>95.802999999999997</v>
      </c>
      <c r="Q77" s="899">
        <v>97.191999999999993</v>
      </c>
      <c r="R77" s="899">
        <v>97.847999999999999</v>
      </c>
      <c r="S77" s="899">
        <v>100</v>
      </c>
    </row>
    <row r="78" spans="1:44" x14ac:dyDescent="0.3">
      <c r="A78" s="899" t="s">
        <v>461</v>
      </c>
      <c r="B78" s="62">
        <f>100/B77</f>
        <v>1.4042577093748243</v>
      </c>
      <c r="C78" s="62">
        <f t="shared" ref="C78:S78" si="21">100/C77</f>
        <v>1.3750051562693359</v>
      </c>
      <c r="D78" s="62">
        <f t="shared" si="21"/>
        <v>1.3583080914413008</v>
      </c>
      <c r="E78" s="62">
        <f t="shared" si="21"/>
        <v>1.327245699723933</v>
      </c>
      <c r="F78" s="62">
        <f t="shared" si="21"/>
        <v>1.2988193731897706</v>
      </c>
      <c r="G78" s="62">
        <f t="shared" si="21"/>
        <v>1.2636473918317834</v>
      </c>
      <c r="H78" s="62">
        <f t="shared" si="21"/>
        <v>1.2315119271930151</v>
      </c>
      <c r="I78" s="62">
        <f t="shared" si="21"/>
        <v>1.1941011403665889</v>
      </c>
      <c r="J78" s="62">
        <f t="shared" si="21"/>
        <v>1.1651752423564505</v>
      </c>
      <c r="K78" s="62">
        <f t="shared" si="21"/>
        <v>1.1356409557554283</v>
      </c>
      <c r="L78" s="62">
        <f t="shared" si="21"/>
        <v>1.1193821010802039</v>
      </c>
      <c r="M78" s="62">
        <f t="shared" si="21"/>
        <v>1.0992997460617586</v>
      </c>
      <c r="N78" s="62">
        <f t="shared" si="21"/>
        <v>1.0836819176835215</v>
      </c>
      <c r="O78" s="62">
        <f t="shared" si="21"/>
        <v>1.0616274749190511</v>
      </c>
      <c r="P78" s="62">
        <f t="shared" si="21"/>
        <v>1.0438086489984657</v>
      </c>
      <c r="Q78" s="62">
        <f t="shared" si="21"/>
        <v>1.0288912667709278</v>
      </c>
      <c r="R78" s="62">
        <f t="shared" si="21"/>
        <v>1.0219932957239801</v>
      </c>
      <c r="S78" s="62">
        <f t="shared" si="21"/>
        <v>1</v>
      </c>
    </row>
    <row r="79" spans="1:44" ht="13.2" customHeight="1" x14ac:dyDescent="0.3">
      <c r="AB79" s="106"/>
      <c r="AC79" s="106"/>
      <c r="AD79" s="106"/>
      <c r="AE79" s="106"/>
      <c r="AF79" s="106"/>
      <c r="AG79" s="106"/>
      <c r="AH79" s="106"/>
      <c r="AI79" s="106"/>
      <c r="AJ79" s="106"/>
      <c r="AK79" s="106"/>
      <c r="AL79" s="106"/>
      <c r="AM79" s="106"/>
      <c r="AN79" s="106"/>
      <c r="AO79" s="106"/>
      <c r="AP79" s="106"/>
      <c r="AQ79" s="106"/>
      <c r="AR79" s="106"/>
    </row>
  </sheetData>
  <mergeCells count="2">
    <mergeCell ref="A62:G62"/>
    <mergeCell ref="A71:M71"/>
  </mergeCells>
  <hyperlinks>
    <hyperlink ref="D56" r:id="rId1" xr:uid="{9DBDAC5F-700E-4F5C-AC4B-FF2F0899CFAD}"/>
    <hyperlink ref="D57" r:id="rId2" xr:uid="{AD7608CF-F696-421D-A228-032D28415ECD}"/>
    <hyperlink ref="A69" r:id="rId3" xr:uid="{41F1965E-DADE-4398-A562-C2BE8877AF4C}"/>
    <hyperlink ref="A70" r:id="rId4" xr:uid="{1D740350-4828-4E25-AA92-EE12F3C392FF}"/>
    <hyperlink ref="A75" r:id="rId5" xr:uid="{A79D097A-5BAA-4223-AC73-FB86657950A1}"/>
    <hyperlink ref="W43" r:id="rId6" xr:uid="{F89FCB6F-8BAD-4DF8-A165-E499E08238C3}"/>
    <hyperlink ref="W50" r:id="rId7" xr:uid="{04A71034-A68B-4940-AAA5-60D21F2E1BEC}"/>
    <hyperlink ref="W51" r:id="rId8" xr:uid="{68009BE8-2077-487F-AD0A-8AB7BFFEA346}"/>
    <hyperlink ref="W44" r:id="rId9" xr:uid="{F039FEFA-3CB4-4C0D-807C-CA52C545BE3F}"/>
  </hyperlinks>
  <pageMargins left="0.7" right="0.7" top="0.75" bottom="0.75" header="0.3" footer="0.3"/>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3A4F4-601B-44D1-BED9-C453C62D8B2C}">
  <dimension ref="A1:CS345"/>
  <sheetViews>
    <sheetView zoomScale="90" zoomScaleNormal="90" workbookViewId="0">
      <selection activeCell="D62" sqref="D62"/>
    </sheetView>
  </sheetViews>
  <sheetFormatPr defaultRowHeight="14.4" x14ac:dyDescent="0.3"/>
  <cols>
    <col min="1" max="1" width="41.44140625" style="71" customWidth="1"/>
    <col min="2" max="2" width="13.77734375" style="71" customWidth="1"/>
    <col min="3" max="3" width="13.6640625" style="71" bestFit="1" customWidth="1"/>
    <col min="4" max="4" width="12.77734375" style="71" customWidth="1"/>
    <col min="5" max="5" width="18.5546875" style="71" customWidth="1"/>
    <col min="6" max="6" width="13.33203125" style="71" customWidth="1"/>
    <col min="7" max="7" width="16.5546875" style="71" customWidth="1"/>
    <col min="8" max="8" width="15.5546875" style="71" customWidth="1"/>
    <col min="9" max="9" width="11.44140625" style="71" customWidth="1"/>
    <col min="10" max="20" width="13.77734375" style="71" bestFit="1" customWidth="1"/>
    <col min="21" max="21" width="11.6640625" style="71" customWidth="1"/>
    <col min="22" max="22" width="14.109375" style="71" customWidth="1"/>
    <col min="23" max="24" width="12.33203125" style="71" customWidth="1"/>
    <col min="25" max="25" width="11.6640625" style="71" bestFit="1" customWidth="1"/>
    <col min="26" max="26" width="8.88671875" style="71"/>
    <col min="27" max="27" width="27.6640625" style="71" customWidth="1"/>
    <col min="28" max="28" width="13.5546875" style="71" bestFit="1" customWidth="1"/>
    <col min="29" max="44" width="11.33203125" style="71" bestFit="1" customWidth="1"/>
    <col min="45" max="16384" width="8.88671875" style="71"/>
  </cols>
  <sheetData>
    <row r="1" spans="1:13" s="156" customFormat="1" ht="44.4" customHeight="1" x14ac:dyDescent="0.4">
      <c r="A1" s="946" t="s">
        <v>175</v>
      </c>
    </row>
    <row r="2" spans="1:13" s="156" customFormat="1" ht="122.4" customHeight="1" x14ac:dyDescent="0.4">
      <c r="A2" s="972" t="s">
        <v>762</v>
      </c>
      <c r="B2" s="972"/>
      <c r="C2" s="972"/>
      <c r="D2" s="972"/>
      <c r="E2" s="972"/>
      <c r="F2" s="972"/>
      <c r="G2" s="972"/>
      <c r="H2" s="972"/>
      <c r="I2" s="972"/>
      <c r="J2" s="972"/>
      <c r="K2" s="972"/>
      <c r="L2" s="972"/>
      <c r="M2" s="972"/>
    </row>
    <row r="3" spans="1:13" s="91" customFormat="1" ht="19.8" customHeight="1" x14ac:dyDescent="0.3">
      <c r="A3" s="973" t="s">
        <v>564</v>
      </c>
      <c r="B3" s="973"/>
      <c r="C3" s="973"/>
      <c r="D3" s="973"/>
      <c r="E3" s="973"/>
      <c r="F3" s="973"/>
      <c r="G3" s="973"/>
      <c r="H3" s="973"/>
      <c r="I3" s="973"/>
      <c r="J3" s="973"/>
      <c r="K3" s="973"/>
      <c r="L3" s="973"/>
      <c r="M3" s="973"/>
    </row>
    <row r="4" spans="1:13" s="465" customFormat="1" ht="19.8" customHeight="1" x14ac:dyDescent="0.3">
      <c r="A4" s="594" t="s">
        <v>676</v>
      </c>
      <c r="B4" s="587"/>
      <c r="C4" s="587"/>
      <c r="D4" s="587"/>
      <c r="E4" s="587"/>
      <c r="F4" s="587"/>
      <c r="G4" s="587"/>
      <c r="H4" s="587"/>
      <c r="I4" s="587"/>
      <c r="J4" s="587"/>
      <c r="K4" s="587"/>
      <c r="L4" s="587"/>
      <c r="M4" s="587"/>
    </row>
    <row r="5" spans="1:13" s="91" customFormat="1" ht="23.4" customHeight="1" x14ac:dyDescent="0.35">
      <c r="A5" s="95" t="s">
        <v>426</v>
      </c>
      <c r="B5" s="83"/>
      <c r="C5" s="6"/>
      <c r="F5" s="9"/>
    </row>
    <row r="6" spans="1:13" x14ac:dyDescent="0.3">
      <c r="A6" s="140" t="s">
        <v>185</v>
      </c>
      <c r="B6" s="112">
        <v>1999</v>
      </c>
      <c r="C6" s="171">
        <v>2018</v>
      </c>
      <c r="F6" s="72"/>
    </row>
    <row r="7" spans="1:13" x14ac:dyDescent="0.3">
      <c r="A7" s="172" t="s">
        <v>423</v>
      </c>
      <c r="B7" s="57">
        <f>(C177+C184)/1000</f>
        <v>167.78399999999999</v>
      </c>
      <c r="C7" s="173">
        <f>(V177+V184)/1000</f>
        <v>350.65100000000001</v>
      </c>
    </row>
    <row r="8" spans="1:13" x14ac:dyDescent="0.3">
      <c r="A8" s="143" t="s">
        <v>424</v>
      </c>
      <c r="B8" s="174">
        <v>151.34899999999999</v>
      </c>
      <c r="C8" s="175">
        <v>308.89999999999998</v>
      </c>
    </row>
    <row r="9" spans="1:13" s="91" customFormat="1" x14ac:dyDescent="0.3">
      <c r="A9" s="44"/>
      <c r="B9" s="291"/>
      <c r="C9" s="255"/>
    </row>
    <row r="10" spans="1:13" s="91" customFormat="1" x14ac:dyDescent="0.3">
      <c r="A10" s="211" t="s">
        <v>697</v>
      </c>
      <c r="B10" s="176" t="s">
        <v>137</v>
      </c>
      <c r="C10" s="126" t="s">
        <v>445</v>
      </c>
      <c r="D10" s="141" t="s">
        <v>319</v>
      </c>
    </row>
    <row r="11" spans="1:13" s="91" customFormat="1" x14ac:dyDescent="0.3">
      <c r="A11" s="313" t="s">
        <v>447</v>
      </c>
      <c r="B11" s="685">
        <v>18.52</v>
      </c>
      <c r="C11" s="693">
        <v>25.84</v>
      </c>
      <c r="D11" s="316">
        <f>B11+C11</f>
        <v>44.36</v>
      </c>
    </row>
    <row r="12" spans="1:13" s="91" customFormat="1" x14ac:dyDescent="0.3">
      <c r="A12" s="313" t="s">
        <v>448</v>
      </c>
      <c r="B12" s="685">
        <v>12.85</v>
      </c>
      <c r="C12" s="693">
        <v>23.63</v>
      </c>
      <c r="D12" s="316">
        <f t="shared" ref="D12:D20" si="0">B12+C12</f>
        <v>36.479999999999997</v>
      </c>
    </row>
    <row r="13" spans="1:13" s="91" customFormat="1" x14ac:dyDescent="0.3">
      <c r="A13" s="313" t="s">
        <v>449</v>
      </c>
      <c r="B13" s="685">
        <v>14.29</v>
      </c>
      <c r="C13" s="693">
        <v>18.84</v>
      </c>
      <c r="D13" s="316">
        <f t="shared" si="0"/>
        <v>33.129999999999995</v>
      </c>
    </row>
    <row r="14" spans="1:13" s="91" customFormat="1" x14ac:dyDescent="0.3">
      <c r="A14" s="313" t="s">
        <v>451</v>
      </c>
      <c r="B14" s="685">
        <v>18.34</v>
      </c>
      <c r="C14" s="693">
        <v>11.76</v>
      </c>
      <c r="D14" s="316">
        <f>B14+C14</f>
        <v>30.1</v>
      </c>
    </row>
    <row r="15" spans="1:13" s="465" customFormat="1" x14ac:dyDescent="0.3">
      <c r="A15" s="313" t="s">
        <v>453</v>
      </c>
      <c r="B15" s="685">
        <v>12.66</v>
      </c>
      <c r="C15" s="693">
        <v>14.35</v>
      </c>
      <c r="D15" s="316">
        <f>B15+C15</f>
        <v>27.009999999999998</v>
      </c>
    </row>
    <row r="16" spans="1:13" s="91" customFormat="1" x14ac:dyDescent="0.3">
      <c r="A16" s="313" t="s">
        <v>450</v>
      </c>
      <c r="B16" s="685">
        <v>11.14</v>
      </c>
      <c r="C16" s="693">
        <v>14.42</v>
      </c>
      <c r="D16" s="316">
        <f>B16+C16</f>
        <v>25.560000000000002</v>
      </c>
    </row>
    <row r="17" spans="1:4" s="91" customFormat="1" x14ac:dyDescent="0.3">
      <c r="A17" s="313" t="s">
        <v>454</v>
      </c>
      <c r="B17" s="685">
        <v>7.36</v>
      </c>
      <c r="C17" s="693">
        <v>9.42</v>
      </c>
      <c r="D17" s="316">
        <f t="shared" si="0"/>
        <v>16.78</v>
      </c>
    </row>
    <row r="18" spans="1:4" s="91" customFormat="1" x14ac:dyDescent="0.3">
      <c r="A18" s="313" t="s">
        <v>455</v>
      </c>
      <c r="B18" s="685">
        <v>9.7799999999999994</v>
      </c>
      <c r="C18" s="693">
        <v>3.68</v>
      </c>
      <c r="D18" s="316">
        <f t="shared" si="0"/>
        <v>13.459999999999999</v>
      </c>
    </row>
    <row r="19" spans="1:4" s="91" customFormat="1" x14ac:dyDescent="0.3">
      <c r="A19" s="313" t="s">
        <v>456</v>
      </c>
      <c r="B19" s="685">
        <v>5.81</v>
      </c>
      <c r="C19" s="693">
        <v>6.54</v>
      </c>
      <c r="D19" s="316">
        <f t="shared" si="0"/>
        <v>12.35</v>
      </c>
    </row>
    <row r="20" spans="1:4" s="91" customFormat="1" x14ac:dyDescent="0.3">
      <c r="A20" s="313" t="s">
        <v>457</v>
      </c>
      <c r="B20" s="685">
        <v>2.95</v>
      </c>
      <c r="C20" s="693">
        <v>5.25</v>
      </c>
      <c r="D20" s="316">
        <f t="shared" si="0"/>
        <v>8.1999999999999993</v>
      </c>
    </row>
    <row r="21" spans="1:4" s="91" customFormat="1" x14ac:dyDescent="0.3">
      <c r="A21" s="310" t="s">
        <v>452</v>
      </c>
      <c r="B21" s="686">
        <f>150.56-SUM(B11:B20)</f>
        <v>36.86</v>
      </c>
      <c r="C21" s="694">
        <f>158.373-SUM(C11:C20)</f>
        <v>24.642999999999972</v>
      </c>
      <c r="D21" s="311">
        <f>B21+C21</f>
        <v>61.502999999999972</v>
      </c>
    </row>
    <row r="22" spans="1:4" s="91" customFormat="1" x14ac:dyDescent="0.3">
      <c r="A22" s="314" t="s">
        <v>119</v>
      </c>
      <c r="B22" s="687">
        <v>2.1240000000000001</v>
      </c>
      <c r="C22" s="695">
        <v>0.84799999999999998</v>
      </c>
      <c r="D22" s="315">
        <f>B22+C22</f>
        <v>2.972</v>
      </c>
    </row>
    <row r="23" spans="1:4" s="91" customFormat="1" ht="17.399999999999999" customHeight="1" x14ac:dyDescent="0.3">
      <c r="A23" s="220" t="s">
        <v>561</v>
      </c>
      <c r="B23" s="688">
        <v>15.9</v>
      </c>
      <c r="C23" s="695">
        <v>7.5650000000000004</v>
      </c>
      <c r="D23" s="306">
        <f>C23+B23</f>
        <v>23.465</v>
      </c>
    </row>
    <row r="24" spans="1:4" s="91" customFormat="1" x14ac:dyDescent="0.3">
      <c r="A24" s="220" t="s">
        <v>122</v>
      </c>
      <c r="B24" s="688">
        <v>0.13</v>
      </c>
      <c r="C24" s="695">
        <v>0</v>
      </c>
      <c r="D24" s="306">
        <f>C24+B24</f>
        <v>0.13</v>
      </c>
    </row>
    <row r="25" spans="1:4" s="91" customFormat="1" x14ac:dyDescent="0.3">
      <c r="A25" s="220" t="s">
        <v>123</v>
      </c>
      <c r="B25" s="688">
        <v>1.41</v>
      </c>
      <c r="C25" s="695">
        <v>4.1820000000000004</v>
      </c>
      <c r="D25" s="306">
        <f>B25+C25</f>
        <v>5.5920000000000005</v>
      </c>
    </row>
    <row r="26" spans="1:4" s="91" customFormat="1" x14ac:dyDescent="0.3">
      <c r="A26" s="220" t="s">
        <v>124</v>
      </c>
      <c r="B26" s="689">
        <v>1.786</v>
      </c>
      <c r="C26" s="695">
        <v>1.9039999999999999</v>
      </c>
      <c r="D26" s="306">
        <f>B26+C26</f>
        <v>3.69</v>
      </c>
    </row>
    <row r="27" spans="1:4" s="91" customFormat="1" x14ac:dyDescent="0.3">
      <c r="A27" s="220" t="s">
        <v>125</v>
      </c>
      <c r="B27" s="688">
        <v>0.24299999999999999</v>
      </c>
      <c r="C27" s="695">
        <v>5.5640000000000001</v>
      </c>
      <c r="D27" s="306">
        <f>B27+C27</f>
        <v>5.8070000000000004</v>
      </c>
    </row>
    <row r="28" spans="1:4" s="91" customFormat="1" x14ac:dyDescent="0.3">
      <c r="A28" s="628" t="s">
        <v>184</v>
      </c>
      <c r="B28" s="690">
        <f>SUM(B11:B27)</f>
        <v>172.15299999999999</v>
      </c>
      <c r="C28" s="696">
        <f>SUM(C11:C27)</f>
        <v>178.43599999999998</v>
      </c>
      <c r="D28" s="629">
        <f>SUM(D11:D27)</f>
        <v>350.58899999999988</v>
      </c>
    </row>
    <row r="29" spans="1:4" s="91" customFormat="1" x14ac:dyDescent="0.3">
      <c r="A29" s="307" t="s">
        <v>446</v>
      </c>
      <c r="B29" s="465"/>
      <c r="C29" s="465"/>
      <c r="D29" s="18"/>
    </row>
    <row r="30" spans="1:4" s="91" customFormat="1" x14ac:dyDescent="0.3">
      <c r="A30" s="684" t="s">
        <v>653</v>
      </c>
      <c r="B30" s="691">
        <f>SUM(B11:B21)</f>
        <v>150.56</v>
      </c>
      <c r="C30" s="683">
        <f>SUM(C11:C21)</f>
        <v>158.37299999999999</v>
      </c>
      <c r="D30" s="692">
        <f>SUM(D11:D21)</f>
        <v>308.93299999999994</v>
      </c>
    </row>
    <row r="31" spans="1:4" s="91" customFormat="1" x14ac:dyDescent="0.3">
      <c r="A31" s="220"/>
      <c r="B31" s="308"/>
      <c r="C31" s="309"/>
      <c r="D31" s="309"/>
    </row>
    <row r="32" spans="1:4" s="91" customFormat="1" x14ac:dyDescent="0.3">
      <c r="A32" s="44"/>
      <c r="B32" s="291"/>
      <c r="C32" s="255"/>
    </row>
    <row r="33" spans="1:6" s="91" customFormat="1" ht="18" x14ac:dyDescent="0.35">
      <c r="A33" s="95" t="s">
        <v>761</v>
      </c>
      <c r="B33" s="83"/>
      <c r="C33" s="6"/>
    </row>
    <row r="34" spans="1:6" s="91" customFormat="1" x14ac:dyDescent="0.3">
      <c r="A34" s="91" t="s">
        <v>462</v>
      </c>
      <c r="B34" s="96"/>
      <c r="C34" s="55"/>
    </row>
    <row r="35" spans="1:6" s="91" customFormat="1" ht="28.8" x14ac:dyDescent="0.3">
      <c r="A35" s="211" t="s">
        <v>190</v>
      </c>
      <c r="B35" s="126">
        <v>1999</v>
      </c>
      <c r="C35" s="218">
        <v>2018</v>
      </c>
      <c r="D35" s="117" t="s">
        <v>562</v>
      </c>
    </row>
    <row r="36" spans="1:6" s="91" customFormat="1" x14ac:dyDescent="0.3">
      <c r="A36" s="220" t="s">
        <v>121</v>
      </c>
      <c r="B36" s="697">
        <f>B8</f>
        <v>151.34899999999999</v>
      </c>
      <c r="C36" s="119">
        <f>C8</f>
        <v>308.89999999999998</v>
      </c>
      <c r="D36" s="702">
        <f>C36/C44</f>
        <v>0.88117162450507192</v>
      </c>
    </row>
    <row r="37" spans="1:6" s="91" customFormat="1" x14ac:dyDescent="0.3">
      <c r="A37" s="338" t="s">
        <v>531</v>
      </c>
      <c r="B37" s="698">
        <f>SUM(B38:B43)</f>
        <v>16.403999999999996</v>
      </c>
      <c r="C37" s="339">
        <f>SUM(C38:C43)</f>
        <v>41.655999999999999</v>
      </c>
      <c r="D37" s="703">
        <f>C37/C44</f>
        <v>0.11882837549492806</v>
      </c>
      <c r="E37" s="564"/>
    </row>
    <row r="38" spans="1:6" s="91" customFormat="1" x14ac:dyDescent="0.3">
      <c r="A38" s="340" t="s">
        <v>532</v>
      </c>
      <c r="B38" s="699">
        <v>1.3859999999999999</v>
      </c>
      <c r="C38" s="341">
        <f t="shared" ref="C38:C43" si="1">D22</f>
        <v>2.972</v>
      </c>
      <c r="D38" s="704">
        <f>C38/C7</f>
        <v>8.4756638366923227E-3</v>
      </c>
      <c r="E38" s="18"/>
    </row>
    <row r="39" spans="1:6" s="91" customFormat="1" x14ac:dyDescent="0.3">
      <c r="A39" s="340" t="s">
        <v>533</v>
      </c>
      <c r="B39" s="699">
        <v>9.8119999999999994</v>
      </c>
      <c r="C39" s="341">
        <f t="shared" si="1"/>
        <v>23.465</v>
      </c>
      <c r="D39" s="704">
        <f>C39/C7</f>
        <v>6.6918388939429807E-2</v>
      </c>
    </row>
    <row r="40" spans="1:6" s="91" customFormat="1" x14ac:dyDescent="0.3">
      <c r="A40" s="340" t="s">
        <v>534</v>
      </c>
      <c r="B40" s="699">
        <v>7.0000000000000001E-3</v>
      </c>
      <c r="C40" s="341">
        <f t="shared" si="1"/>
        <v>0.13</v>
      </c>
      <c r="D40" s="704">
        <f>C40/C7</f>
        <v>3.7073899689434795E-4</v>
      </c>
    </row>
    <row r="41" spans="1:6" s="91" customFormat="1" x14ac:dyDescent="0.3">
      <c r="A41" s="340" t="s">
        <v>535</v>
      </c>
      <c r="B41" s="699">
        <v>0.88800000000000001</v>
      </c>
      <c r="C41" s="341">
        <f t="shared" si="1"/>
        <v>5.5920000000000005</v>
      </c>
      <c r="D41" s="704">
        <f>C41/C7</f>
        <v>1.5947480543332261E-2</v>
      </c>
    </row>
    <row r="42" spans="1:6" s="91" customFormat="1" x14ac:dyDescent="0.3">
      <c r="A42" s="340" t="s">
        <v>536</v>
      </c>
      <c r="B42" s="700">
        <v>2.9079999999999999</v>
      </c>
      <c r="C42" s="341">
        <f t="shared" si="1"/>
        <v>3.69</v>
      </c>
      <c r="D42" s="704">
        <f>C42/C7</f>
        <v>1.0523283834924183E-2</v>
      </c>
    </row>
    <row r="43" spans="1:6" s="91" customFormat="1" x14ac:dyDescent="0.3">
      <c r="A43" s="340" t="s">
        <v>537</v>
      </c>
      <c r="B43" s="699">
        <v>1.403</v>
      </c>
      <c r="C43" s="341">
        <f t="shared" si="1"/>
        <v>5.8070000000000004</v>
      </c>
      <c r="D43" s="704">
        <f>C43/C7</f>
        <v>1.656062580742676E-2</v>
      </c>
    </row>
    <row r="44" spans="1:6" x14ac:dyDescent="0.3">
      <c r="A44" s="221" t="s">
        <v>184</v>
      </c>
      <c r="B44" s="701">
        <f>B36+SUM(B38:B43)</f>
        <v>167.75299999999999</v>
      </c>
      <c r="C44" s="165">
        <f>C36+SUM(C38:C43)</f>
        <v>350.55599999999998</v>
      </c>
      <c r="D44" s="705"/>
      <c r="E44" s="45"/>
      <c r="F44" s="81"/>
    </row>
    <row r="45" spans="1:6" s="91" customFormat="1" x14ac:dyDescent="0.3">
      <c r="A45" s="130"/>
      <c r="B45" s="19"/>
      <c r="D45" s="10"/>
      <c r="E45" s="45"/>
      <c r="F45" s="81"/>
    </row>
    <row r="46" spans="1:6" s="91" customFormat="1" x14ac:dyDescent="0.3">
      <c r="A46" s="140" t="s">
        <v>283</v>
      </c>
      <c r="B46" s="189">
        <v>1998</v>
      </c>
      <c r="C46" s="124">
        <v>2018</v>
      </c>
      <c r="E46" s="45"/>
      <c r="F46" s="81"/>
    </row>
    <row r="47" spans="1:6" x14ac:dyDescent="0.3">
      <c r="A47" s="215" t="s">
        <v>191</v>
      </c>
      <c r="B47" s="216">
        <f>B8/B7</f>
        <v>0.90204667906355784</v>
      </c>
      <c r="C47" s="217">
        <f>C8/C7</f>
        <v>0.88093289338972358</v>
      </c>
    </row>
    <row r="48" spans="1:6" x14ac:dyDescent="0.3">
      <c r="A48" s="91"/>
      <c r="B48" s="19"/>
      <c r="C48" s="91"/>
    </row>
    <row r="49" spans="1:24" s="91" customFormat="1" x14ac:dyDescent="0.3">
      <c r="B49" s="19"/>
    </row>
    <row r="50" spans="1:24" s="91" customFormat="1" ht="18" x14ac:dyDescent="0.35">
      <c r="A50" s="95" t="s">
        <v>716</v>
      </c>
      <c r="B50" s="83"/>
      <c r="C50" s="6"/>
    </row>
    <row r="51" spans="1:24" s="324" customFormat="1" ht="31.2" customHeight="1" x14ac:dyDescent="0.3">
      <c r="A51" s="975" t="s">
        <v>695</v>
      </c>
      <c r="B51" s="975"/>
      <c r="C51" s="975"/>
      <c r="D51" s="975"/>
      <c r="E51" s="975"/>
      <c r="F51" s="975"/>
      <c r="G51" s="975"/>
      <c r="H51" s="975"/>
      <c r="I51" s="975"/>
    </row>
    <row r="52" spans="1:24" s="91" customFormat="1" ht="43.2" x14ac:dyDescent="0.3">
      <c r="A52" s="140" t="s">
        <v>211</v>
      </c>
      <c r="B52" s="113" t="s">
        <v>699</v>
      </c>
      <c r="C52" s="111" t="s">
        <v>692</v>
      </c>
      <c r="D52" s="113" t="s">
        <v>700</v>
      </c>
      <c r="E52" s="141" t="s">
        <v>693</v>
      </c>
      <c r="G52" s="187" t="s">
        <v>694</v>
      </c>
      <c r="H52" s="120" t="s">
        <v>65</v>
      </c>
      <c r="I52" s="141" t="s">
        <v>95</v>
      </c>
    </row>
    <row r="53" spans="1:24" s="91" customFormat="1" x14ac:dyDescent="0.3">
      <c r="A53" s="70" t="s">
        <v>137</v>
      </c>
      <c r="B53" s="137">
        <f>B91</f>
        <v>145.1163246474801</v>
      </c>
      <c r="C53" s="119">
        <f>C91</f>
        <v>152.95713733032676</v>
      </c>
      <c r="D53" s="137">
        <f>B92</f>
        <v>146.64984499721993</v>
      </c>
      <c r="E53" s="142">
        <f>C92</f>
        <v>242.4132228442497</v>
      </c>
      <c r="G53" s="70" t="s">
        <v>96</v>
      </c>
      <c r="H53" s="159">
        <f>E91</f>
        <v>5.4031224274000478E-2</v>
      </c>
      <c r="I53" s="157">
        <f>E93</f>
        <v>0.70075131423350545</v>
      </c>
    </row>
    <row r="54" spans="1:24" s="91" customFormat="1" x14ac:dyDescent="0.3">
      <c r="A54" s="143" t="s">
        <v>64</v>
      </c>
      <c r="B54" s="144">
        <f>B93</f>
        <v>95.720716592937535</v>
      </c>
      <c r="C54" s="145">
        <f>C93</f>
        <v>162.79713454481143</v>
      </c>
      <c r="D54" s="144">
        <f>B94</f>
        <v>121.82528439772481</v>
      </c>
      <c r="E54" s="146">
        <f>C94</f>
        <v>201.97477636482026</v>
      </c>
      <c r="F54" s="6"/>
      <c r="G54" s="143" t="s">
        <v>86</v>
      </c>
      <c r="H54" s="188">
        <f>E92</f>
        <v>0.65300701714921816</v>
      </c>
      <c r="I54" s="158">
        <f>E94</f>
        <v>0.65790523176970561</v>
      </c>
      <c r="R54" s="18"/>
      <c r="V54" s="6"/>
      <c r="W54" s="33"/>
      <c r="X54" s="33"/>
    </row>
    <row r="55" spans="1:24" s="91" customFormat="1" x14ac:dyDescent="0.3">
      <c r="B55" s="101"/>
      <c r="C55" s="77"/>
      <c r="D55" s="77"/>
      <c r="E55" s="77"/>
      <c r="F55" s="6"/>
      <c r="G55" s="18"/>
      <c r="H55" s="18"/>
      <c r="R55" s="18"/>
      <c r="V55" s="6"/>
      <c r="W55" s="33"/>
      <c r="X55" s="33"/>
    </row>
    <row r="56" spans="1:24" s="91" customFormat="1" x14ac:dyDescent="0.3">
      <c r="B56" s="101"/>
      <c r="C56" s="77"/>
      <c r="D56" s="77"/>
      <c r="E56" s="77"/>
      <c r="F56" s="6"/>
      <c r="G56" s="18"/>
      <c r="H56" s="18"/>
      <c r="R56" s="18"/>
      <c r="V56" s="6"/>
      <c r="W56" s="33"/>
      <c r="X56" s="33"/>
    </row>
    <row r="57" spans="1:24" s="91" customFormat="1" x14ac:dyDescent="0.3">
      <c r="B57" s="101"/>
      <c r="C57" s="77"/>
      <c r="D57" s="77"/>
      <c r="E57" s="77"/>
      <c r="F57" s="6"/>
      <c r="G57" s="18"/>
      <c r="H57" s="18"/>
      <c r="R57" s="18"/>
      <c r="V57" s="6"/>
      <c r="W57" s="33"/>
      <c r="X57" s="33"/>
    </row>
    <row r="58" spans="1:24" s="91" customFormat="1" x14ac:dyDescent="0.3">
      <c r="B58" s="101"/>
      <c r="C58" s="77"/>
      <c r="D58" s="77"/>
      <c r="E58" s="77"/>
      <c r="F58" s="6"/>
      <c r="G58" s="18"/>
      <c r="H58" s="18"/>
      <c r="R58" s="18"/>
      <c r="V58" s="6"/>
      <c r="W58" s="33"/>
      <c r="X58" s="33"/>
    </row>
    <row r="59" spans="1:24" s="91" customFormat="1" x14ac:dyDescent="0.3">
      <c r="B59" s="101"/>
      <c r="C59" s="77"/>
      <c r="D59" s="77"/>
      <c r="E59" s="77"/>
      <c r="F59" s="6"/>
      <c r="G59" s="18"/>
      <c r="H59" s="18"/>
      <c r="R59" s="18"/>
      <c r="V59" s="6"/>
      <c r="W59" s="33"/>
      <c r="X59" s="33"/>
    </row>
    <row r="60" spans="1:24" s="91" customFormat="1" x14ac:dyDescent="0.3">
      <c r="B60" s="101"/>
      <c r="C60" s="77"/>
      <c r="D60" s="77"/>
      <c r="E60" s="77"/>
      <c r="F60" s="6"/>
      <c r="G60" s="18"/>
      <c r="H60" s="18"/>
      <c r="R60" s="18"/>
      <c r="V60" s="6"/>
      <c r="W60" s="33"/>
      <c r="X60" s="33"/>
    </row>
    <row r="61" spans="1:24" s="91" customFormat="1" x14ac:dyDescent="0.3">
      <c r="A61" s="77"/>
      <c r="B61" s="77"/>
      <c r="C61" s="6"/>
      <c r="D61" s="18"/>
      <c r="E61" s="18"/>
      <c r="O61" s="18"/>
      <c r="S61" s="6"/>
      <c r="T61" s="33"/>
      <c r="U61" s="33"/>
    </row>
    <row r="62" spans="1:24" s="91" customFormat="1" x14ac:dyDescent="0.3">
      <c r="A62" s="77"/>
      <c r="B62" s="77"/>
      <c r="C62" s="6"/>
      <c r="D62" s="18"/>
      <c r="E62" s="18"/>
      <c r="O62" s="18"/>
      <c r="S62" s="6"/>
      <c r="T62" s="33"/>
      <c r="U62" s="33"/>
    </row>
    <row r="63" spans="1:24" s="91" customFormat="1" x14ac:dyDescent="0.3">
      <c r="A63" s="77"/>
      <c r="B63" s="77"/>
      <c r="C63" s="6"/>
      <c r="D63" s="18"/>
      <c r="E63" s="18"/>
      <c r="O63" s="18"/>
      <c r="S63" s="6"/>
      <c r="T63" s="33"/>
      <c r="U63" s="33"/>
    </row>
    <row r="64" spans="1:24" s="91" customFormat="1" x14ac:dyDescent="0.3">
      <c r="A64" s="77"/>
      <c r="B64" s="77"/>
      <c r="C64" s="6"/>
      <c r="D64" s="18"/>
      <c r="E64" s="18"/>
      <c r="O64" s="18"/>
      <c r="S64" s="6"/>
      <c r="T64" s="33"/>
      <c r="U64" s="33"/>
    </row>
    <row r="65" spans="1:24" s="91" customFormat="1" x14ac:dyDescent="0.3">
      <c r="A65" s="77"/>
      <c r="B65" s="77"/>
      <c r="C65" s="6"/>
      <c r="D65" s="18"/>
      <c r="E65" s="18"/>
      <c r="O65" s="18"/>
      <c r="S65" s="6"/>
      <c r="T65" s="33"/>
      <c r="U65" s="33"/>
    </row>
    <row r="66" spans="1:24" s="91" customFormat="1" x14ac:dyDescent="0.3">
      <c r="A66" s="77"/>
      <c r="B66" s="77"/>
      <c r="C66" s="6"/>
      <c r="D66" s="18"/>
      <c r="E66" s="18"/>
      <c r="O66" s="18"/>
      <c r="S66" s="6"/>
      <c r="T66" s="33"/>
      <c r="U66" s="33"/>
    </row>
    <row r="67" spans="1:24" s="91" customFormat="1" x14ac:dyDescent="0.3">
      <c r="A67" s="77"/>
      <c r="B67" s="77"/>
      <c r="C67" s="6"/>
      <c r="D67" s="18"/>
      <c r="E67" s="18"/>
      <c r="O67" s="18"/>
      <c r="S67" s="6"/>
      <c r="T67" s="33"/>
      <c r="U67" s="33"/>
    </row>
    <row r="68" spans="1:24" s="91" customFormat="1" x14ac:dyDescent="0.3">
      <c r="B68" s="102"/>
      <c r="C68" s="34"/>
      <c r="D68" s="77"/>
      <c r="E68" s="77"/>
      <c r="F68" s="6"/>
      <c r="G68" s="18"/>
      <c r="H68" s="18"/>
      <c r="R68" s="18"/>
      <c r="V68" s="6"/>
      <c r="W68" s="33"/>
      <c r="X68" s="33"/>
    </row>
    <row r="69" spans="1:24" s="91" customFormat="1" x14ac:dyDescent="0.3">
      <c r="B69" s="102"/>
      <c r="C69" s="34"/>
      <c r="D69" s="77"/>
      <c r="E69" s="77"/>
      <c r="F69" s="6"/>
      <c r="G69" s="18"/>
      <c r="H69" s="18"/>
      <c r="R69" s="18"/>
      <c r="V69" s="6"/>
      <c r="W69" s="33"/>
      <c r="X69" s="33"/>
    </row>
    <row r="70" spans="1:24" s="91" customFormat="1" x14ac:dyDescent="0.3">
      <c r="B70" s="102"/>
      <c r="C70" s="34"/>
      <c r="D70" s="77"/>
      <c r="E70" s="77"/>
      <c r="F70" s="6"/>
      <c r="G70" s="18"/>
      <c r="H70" s="18"/>
      <c r="R70" s="18"/>
      <c r="V70" s="6"/>
      <c r="W70" s="33"/>
      <c r="X70" s="33"/>
    </row>
    <row r="71" spans="1:24" s="91" customFormat="1" x14ac:dyDescent="0.3">
      <c r="B71" s="102"/>
      <c r="C71" s="34"/>
      <c r="D71" s="77"/>
      <c r="E71" s="77"/>
      <c r="F71" s="6"/>
      <c r="G71" s="18"/>
      <c r="H71" s="18"/>
      <c r="R71" s="18"/>
      <c r="V71" s="6"/>
      <c r="W71" s="33"/>
      <c r="X71" s="33"/>
    </row>
    <row r="72" spans="1:24" s="91" customFormat="1" x14ac:dyDescent="0.3">
      <c r="B72" s="102"/>
      <c r="C72" s="34"/>
      <c r="D72" s="77"/>
      <c r="E72" s="77"/>
      <c r="F72" s="6"/>
      <c r="G72" s="18"/>
      <c r="H72" s="18"/>
      <c r="R72" s="18"/>
      <c r="V72" s="6"/>
      <c r="W72" s="33"/>
      <c r="X72" s="33"/>
    </row>
    <row r="73" spans="1:24" s="91" customFormat="1" ht="22.8" customHeight="1" thickBot="1" x14ac:dyDescent="0.35">
      <c r="A73" s="198" t="s">
        <v>638</v>
      </c>
      <c r="B73" s="77"/>
      <c r="C73" s="77"/>
    </row>
    <row r="74" spans="1:24" s="91" customFormat="1" ht="28.2" customHeight="1" x14ac:dyDescent="0.3">
      <c r="A74" s="471" t="s">
        <v>717</v>
      </c>
      <c r="B74" s="470" t="s">
        <v>137</v>
      </c>
      <c r="C74" s="472" t="s">
        <v>133</v>
      </c>
    </row>
    <row r="75" spans="1:24" s="91" customFormat="1" ht="25.2" customHeight="1" x14ac:dyDescent="0.3">
      <c r="A75" s="473" t="s">
        <v>84</v>
      </c>
      <c r="B75" s="617">
        <f>F91</f>
        <v>3.1002118786171984E-3</v>
      </c>
      <c r="C75" s="796">
        <f>F93</f>
        <v>3.1732489464868285E-2</v>
      </c>
      <c r="U75" s="91" t="s">
        <v>102</v>
      </c>
    </row>
    <row r="76" spans="1:24" s="91" customFormat="1" ht="25.2" customHeight="1" thickBot="1" x14ac:dyDescent="0.35">
      <c r="A76" s="474" t="s">
        <v>86</v>
      </c>
      <c r="B76" s="840">
        <f>F92</f>
        <v>3.0005842287019302E-2</v>
      </c>
      <c r="C76" s="797">
        <f>F94</f>
        <v>3.018512937515494E-2</v>
      </c>
    </row>
    <row r="77" spans="1:24" s="91" customFormat="1" ht="25.2" customHeight="1" thickBot="1" x14ac:dyDescent="0.35">
      <c r="A77" s="200"/>
      <c r="B77" s="115"/>
      <c r="C77" s="115"/>
    </row>
    <row r="78" spans="1:24" s="465" customFormat="1" ht="25.2" customHeight="1" x14ac:dyDescent="0.3">
      <c r="A78" s="476" t="s">
        <v>572</v>
      </c>
      <c r="B78" s="477" t="s">
        <v>563</v>
      </c>
      <c r="C78" s="478" t="s">
        <v>696</v>
      </c>
    </row>
    <row r="79" spans="1:24" s="91" customFormat="1" ht="25.2" customHeight="1" thickBot="1" x14ac:dyDescent="0.35">
      <c r="A79" s="474" t="s">
        <v>571</v>
      </c>
      <c r="B79" s="479">
        <f>SUM(B115:K115)/10</f>
        <v>152.4990661919332</v>
      </c>
      <c r="C79" s="480">
        <f>SUM(L115:U115)/10</f>
        <v>151.09091853172396</v>
      </c>
    </row>
    <row r="80" spans="1:24" s="465" customFormat="1" ht="15.6" customHeight="1" x14ac:dyDescent="0.3">
      <c r="A80" s="468"/>
      <c r="B80" s="464"/>
      <c r="C80" s="464"/>
    </row>
    <row r="81" spans="1:28" s="91" customFormat="1" ht="42" customHeight="1" x14ac:dyDescent="0.3">
      <c r="A81" s="974" t="s">
        <v>565</v>
      </c>
      <c r="B81" s="974"/>
      <c r="C81" s="974"/>
      <c r="D81" s="974"/>
      <c r="E81" s="974"/>
      <c r="F81" s="974"/>
      <c r="G81" s="974"/>
      <c r="H81" s="974"/>
      <c r="I81" s="974"/>
    </row>
    <row r="82" spans="1:28" s="91" customFormat="1" ht="25.2" customHeight="1" x14ac:dyDescent="0.3">
      <c r="A82" s="69"/>
      <c r="B82" s="115"/>
      <c r="C82" s="63"/>
      <c r="D82" s="69"/>
      <c r="E82" s="35"/>
      <c r="F82" s="35"/>
    </row>
    <row r="83" spans="1:28" s="91" customFormat="1" ht="25.2" customHeight="1" thickBot="1" x14ac:dyDescent="0.4">
      <c r="A83" s="95" t="s">
        <v>639</v>
      </c>
      <c r="B83" s="95"/>
      <c r="C83" s="95"/>
      <c r="D83" s="95"/>
      <c r="E83" s="35"/>
      <c r="F83" s="35"/>
      <c r="V83" s="91" t="s">
        <v>149</v>
      </c>
      <c r="W83" s="91" t="s">
        <v>150</v>
      </c>
    </row>
    <row r="84" spans="1:28" s="91" customFormat="1" ht="25.2" customHeight="1" x14ac:dyDescent="0.3">
      <c r="A84" s="471" t="s">
        <v>181</v>
      </c>
      <c r="B84" s="470">
        <v>1998</v>
      </c>
      <c r="C84" s="472">
        <v>2018</v>
      </c>
      <c r="D84" s="69"/>
      <c r="E84" s="35"/>
      <c r="F84" s="35"/>
    </row>
    <row r="85" spans="1:28" s="91" customFormat="1" ht="25.2" customHeight="1" x14ac:dyDescent="0.3">
      <c r="A85" s="481" t="s">
        <v>96</v>
      </c>
      <c r="B85" s="467">
        <f>B91/(B93+B91)</f>
        <v>0.60254985653397264</v>
      </c>
      <c r="C85" s="482">
        <f>C91/(C93+C91)</f>
        <v>0.48441826747735051</v>
      </c>
    </row>
    <row r="86" spans="1:28" s="91" customFormat="1" ht="25.2" customHeight="1" thickBot="1" x14ac:dyDescent="0.35">
      <c r="A86" s="483" t="s">
        <v>86</v>
      </c>
      <c r="B86" s="484">
        <f>B92/(B94+B92)</f>
        <v>0.54623251445197463</v>
      </c>
      <c r="C86" s="485">
        <f>C92/(C94+C92)</f>
        <v>0.54549903074723272</v>
      </c>
    </row>
    <row r="87" spans="1:28" s="91" customFormat="1" ht="25.2" customHeight="1" x14ac:dyDescent="0.3">
      <c r="B87" s="103"/>
      <c r="C87" s="103"/>
    </row>
    <row r="88" spans="1:28" s="91" customFormat="1" ht="25.2" customHeight="1" x14ac:dyDescent="0.3"/>
    <row r="89" spans="1:28" s="6" customFormat="1" ht="20.399999999999999" customHeight="1" thickBot="1" x14ac:dyDescent="0.35">
      <c r="A89" s="6" t="s">
        <v>704</v>
      </c>
    </row>
    <row r="90" spans="1:28" s="44" customFormat="1" ht="45.6" customHeight="1" x14ac:dyDescent="0.3">
      <c r="A90" s="634" t="s">
        <v>703</v>
      </c>
      <c r="B90" s="486" t="s">
        <v>705</v>
      </c>
      <c r="C90" s="486" t="s">
        <v>706</v>
      </c>
      <c r="D90" s="486" t="s">
        <v>701</v>
      </c>
      <c r="E90" s="486" t="s">
        <v>707</v>
      </c>
      <c r="F90" s="487" t="s">
        <v>753</v>
      </c>
      <c r="G90" s="631" t="s">
        <v>702</v>
      </c>
      <c r="H90" s="630" t="s">
        <v>698</v>
      </c>
    </row>
    <row r="91" spans="1:28" s="91" customFormat="1" x14ac:dyDescent="0.3">
      <c r="A91" s="454" t="s">
        <v>70</v>
      </c>
      <c r="B91" s="136">
        <f>SUM(C138:E138)/3</f>
        <v>145.1163246474801</v>
      </c>
      <c r="C91" s="151">
        <f>SUM(T138:V138)/3</f>
        <v>152.95713733032676</v>
      </c>
      <c r="D91" s="139">
        <f>(C91-B91)</f>
        <v>7.8408126828466607</v>
      </c>
      <c r="E91" s="466">
        <f>D91/B91</f>
        <v>5.4031224274000478E-2</v>
      </c>
      <c r="F91" s="490">
        <f>((C91/B91)^(1/17))-1</f>
        <v>3.1002118786171984E-3</v>
      </c>
      <c r="G91" s="632">
        <f>SUM(C115:L115)/10</f>
        <v>155.33935778742423</v>
      </c>
      <c r="H91" s="492">
        <f>SUM(M115:V115)/10</f>
        <v>150.69368620350542</v>
      </c>
      <c r="I91" s="44"/>
      <c r="J91" s="44"/>
      <c r="K91" s="497"/>
      <c r="L91" s="44"/>
      <c r="M91" s="116"/>
      <c r="N91" s="44"/>
      <c r="O91" s="114"/>
      <c r="P91" s="44"/>
      <c r="Q91" s="44"/>
      <c r="R91" s="114"/>
    </row>
    <row r="92" spans="1:28" s="91" customFormat="1" x14ac:dyDescent="0.3">
      <c r="A92" s="454" t="s">
        <v>71</v>
      </c>
      <c r="B92" s="136">
        <f>SUM(C139:E139)/3</f>
        <v>146.64984499721993</v>
      </c>
      <c r="C92" s="151">
        <f>SUM(T139:V139)/3</f>
        <v>242.4132228442497</v>
      </c>
      <c r="D92" s="139">
        <f>(C92-B92)</f>
        <v>95.763377847029773</v>
      </c>
      <c r="E92" s="466">
        <f>D92/B92</f>
        <v>0.65300701714921816</v>
      </c>
      <c r="F92" s="490">
        <f>((C92/B92)^(1/17))-1</f>
        <v>3.0005842287019302E-2</v>
      </c>
      <c r="G92" s="632"/>
      <c r="H92" s="349"/>
      <c r="M92" s="9"/>
      <c r="O92" s="11"/>
      <c r="R92" s="11"/>
    </row>
    <row r="93" spans="1:28" s="91" customFormat="1" x14ac:dyDescent="0.3">
      <c r="A93" s="454" t="s">
        <v>72</v>
      </c>
      <c r="B93" s="136">
        <f>SUM(C143:E143)/3</f>
        <v>95.720716592937535</v>
      </c>
      <c r="C93" s="151">
        <f>SUM(T143:V143)/3</f>
        <v>162.79713454481143</v>
      </c>
      <c r="D93" s="139">
        <f>(C93-B93)</f>
        <v>67.076417951873893</v>
      </c>
      <c r="E93" s="466">
        <f>D93/B93</f>
        <v>0.70075131423350545</v>
      </c>
      <c r="F93" s="490">
        <f>((C93/B93)^(1/17))-1</f>
        <v>3.1732489464868285E-2</v>
      </c>
      <c r="G93" s="632">
        <f>SUM(C116:L116)/10</f>
        <v>106.31643953293353</v>
      </c>
      <c r="H93" s="493">
        <f>SUM(M116:V116)/10</f>
        <v>147.7005029135359</v>
      </c>
      <c r="M93" s="9"/>
      <c r="O93" s="11"/>
      <c r="R93" s="11"/>
    </row>
    <row r="94" spans="1:28" s="48" customFormat="1" ht="15" thickBot="1" x14ac:dyDescent="0.35">
      <c r="A94" s="456" t="s">
        <v>73</v>
      </c>
      <c r="B94" s="488">
        <f>SUM(C144:E144)/3</f>
        <v>121.82528439772481</v>
      </c>
      <c r="C94" s="489">
        <f>SUM(T144:V144)/3</f>
        <v>201.97477636482026</v>
      </c>
      <c r="D94" s="479">
        <f>(C94-B94)</f>
        <v>80.149491967095443</v>
      </c>
      <c r="E94" s="475">
        <f>D94/B94</f>
        <v>0.65790523176970561</v>
      </c>
      <c r="F94" s="491">
        <f>((C94/B94)^(1/17))-1</f>
        <v>3.018512937515494E-2</v>
      </c>
      <c r="G94" s="633"/>
      <c r="H94" s="350"/>
      <c r="I94" s="91"/>
      <c r="J94" s="91"/>
      <c r="K94" s="91"/>
      <c r="L94" s="91"/>
      <c r="M94" s="9"/>
      <c r="N94" s="91"/>
      <c r="O94" s="11"/>
      <c r="P94" s="91"/>
      <c r="Q94" s="91"/>
      <c r="R94" s="11"/>
      <c r="S94" s="58"/>
      <c r="Z94" s="59"/>
    </row>
    <row r="95" spans="1:28" s="91" customFormat="1" x14ac:dyDescent="0.3">
      <c r="B95" s="343"/>
      <c r="C95" s="343"/>
      <c r="D95" s="465"/>
      <c r="E95" s="465"/>
      <c r="U95" s="10"/>
      <c r="AB95" s="22"/>
    </row>
    <row r="96" spans="1:28" s="91" customFormat="1" ht="18" x14ac:dyDescent="0.35">
      <c r="A96" s="95" t="s">
        <v>689</v>
      </c>
      <c r="U96" s="10"/>
      <c r="AB96" s="22"/>
    </row>
    <row r="97" spans="1:28" s="465" customFormat="1" x14ac:dyDescent="0.3">
      <c r="A97" s="498" t="s">
        <v>690</v>
      </c>
      <c r="U97" s="10"/>
      <c r="AB97" s="22"/>
    </row>
    <row r="98" spans="1:28" s="91" customFormat="1" ht="13.2" customHeight="1" x14ac:dyDescent="0.3">
      <c r="A98" s="45" t="s">
        <v>173</v>
      </c>
      <c r="U98" s="10"/>
      <c r="AB98" s="22"/>
    </row>
    <row r="99" spans="1:28" s="91" customFormat="1" x14ac:dyDescent="0.3"/>
    <row r="100" spans="1:28" s="91" customFormat="1" x14ac:dyDescent="0.3"/>
    <row r="101" spans="1:28" s="91" customFormat="1" x14ac:dyDescent="0.3"/>
    <row r="102" spans="1:28" s="91" customFormat="1" x14ac:dyDescent="0.3"/>
    <row r="103" spans="1:28" s="91" customFormat="1" x14ac:dyDescent="0.3"/>
    <row r="104" spans="1:28" s="91" customFormat="1" x14ac:dyDescent="0.3"/>
    <row r="105" spans="1:28" s="91" customFormat="1" x14ac:dyDescent="0.3"/>
    <row r="106" spans="1:28" s="91" customFormat="1" x14ac:dyDescent="0.3"/>
    <row r="107" spans="1:28" s="91" customFormat="1" x14ac:dyDescent="0.3"/>
    <row r="108" spans="1:28" s="91" customFormat="1" x14ac:dyDescent="0.3"/>
    <row r="109" spans="1:28" s="91" customFormat="1" x14ac:dyDescent="0.3"/>
    <row r="110" spans="1:28" s="91" customFormat="1" x14ac:dyDescent="0.3"/>
    <row r="111" spans="1:28" s="91" customFormat="1" x14ac:dyDescent="0.3"/>
    <row r="112" spans="1:28" s="91" customFormat="1" x14ac:dyDescent="0.3"/>
    <row r="113" spans="1:96" s="91" customFormat="1" x14ac:dyDescent="0.3"/>
    <row r="114" spans="1:96" s="110" customFormat="1" x14ac:dyDescent="0.3">
      <c r="A114" s="109" t="s">
        <v>48</v>
      </c>
      <c r="B114" s="105" t="s">
        <v>0</v>
      </c>
      <c r="C114" s="105" t="s">
        <v>1</v>
      </c>
      <c r="D114" s="105" t="s">
        <v>2</v>
      </c>
      <c r="E114" s="105" t="s">
        <v>3</v>
      </c>
      <c r="F114" s="105" t="s">
        <v>4</v>
      </c>
      <c r="G114" s="105" t="s">
        <v>5</v>
      </c>
      <c r="H114" s="105" t="s">
        <v>6</v>
      </c>
      <c r="I114" s="105" t="s">
        <v>7</v>
      </c>
      <c r="J114" s="105" t="s">
        <v>8</v>
      </c>
      <c r="K114" s="105" t="s">
        <v>9</v>
      </c>
      <c r="L114" s="105" t="s">
        <v>10</v>
      </c>
      <c r="M114" s="105" t="s">
        <v>11</v>
      </c>
      <c r="N114" s="105" t="s">
        <v>12</v>
      </c>
      <c r="O114" s="105" t="s">
        <v>13</v>
      </c>
      <c r="P114" s="105" t="s">
        <v>14</v>
      </c>
      <c r="Q114" s="105" t="s">
        <v>15</v>
      </c>
      <c r="R114" s="105" t="s">
        <v>16</v>
      </c>
      <c r="S114" s="105" t="s">
        <v>17</v>
      </c>
      <c r="T114" s="105" t="s">
        <v>18</v>
      </c>
      <c r="U114" s="105" t="s">
        <v>525</v>
      </c>
      <c r="V114" s="105" t="s">
        <v>688</v>
      </c>
    </row>
    <row r="115" spans="1:96" s="91" customFormat="1" x14ac:dyDescent="0.3">
      <c r="A115" s="31" t="s">
        <v>196</v>
      </c>
      <c r="B115" s="150">
        <f>B138</f>
        <v>135.46820027063598</v>
      </c>
      <c r="C115" s="150">
        <f t="shared" ref="C115:T115" si="2">C138</f>
        <v>137.94070080862534</v>
      </c>
      <c r="D115" s="150">
        <f t="shared" si="2"/>
        <v>148.46578947368423</v>
      </c>
      <c r="E115" s="150">
        <f t="shared" si="2"/>
        <v>148.94248366013073</v>
      </c>
      <c r="F115" s="150">
        <f t="shared" si="2"/>
        <v>152.20954907161806</v>
      </c>
      <c r="G115" s="150">
        <f t="shared" si="2"/>
        <v>145.72193211488252</v>
      </c>
      <c r="H115" s="150">
        <f t="shared" si="2"/>
        <v>147.79473684210527</v>
      </c>
      <c r="I115" s="150">
        <f t="shared" si="2"/>
        <v>155.1145038167939</v>
      </c>
      <c r="J115" s="150">
        <f t="shared" si="2"/>
        <v>191.49438202247194</v>
      </c>
      <c r="K115" s="150">
        <f t="shared" si="2"/>
        <v>161.83838383838381</v>
      </c>
      <c r="L115" s="150">
        <f t="shared" si="2"/>
        <v>163.87111622554659</v>
      </c>
      <c r="M115" s="150">
        <f t="shared" si="2"/>
        <v>139.3170731707317</v>
      </c>
      <c r="N115" s="150">
        <f t="shared" si="2"/>
        <v>152.27397260273972</v>
      </c>
      <c r="O115" s="150">
        <f t="shared" si="2"/>
        <v>163.20941883767537</v>
      </c>
      <c r="P115" s="150">
        <f t="shared" si="2"/>
        <v>153.57603222557907</v>
      </c>
      <c r="Q115" s="150">
        <f t="shared" si="2"/>
        <v>148.98817733990151</v>
      </c>
      <c r="R115" s="150">
        <f t="shared" si="2"/>
        <v>148.95740365111564</v>
      </c>
      <c r="S115" s="150">
        <f t="shared" si="2"/>
        <v>141.74337221633084</v>
      </c>
      <c r="T115" s="150">
        <f t="shared" si="2"/>
        <v>142.70500000000001</v>
      </c>
      <c r="U115" s="150">
        <f>U138</f>
        <v>156.26761904761904</v>
      </c>
      <c r="V115" s="150">
        <f>V138</f>
        <v>159.8987929433612</v>
      </c>
      <c r="X115" s="150">
        <f>SUM(T115:V115)/3</f>
        <v>152.95713733032676</v>
      </c>
    </row>
    <row r="116" spans="1:96" s="91" customFormat="1" x14ac:dyDescent="0.3">
      <c r="A116" s="31" t="s">
        <v>197</v>
      </c>
      <c r="B116" s="150">
        <f>B143</f>
        <v>88.184032476319345</v>
      </c>
      <c r="C116" s="150">
        <f t="shared" ref="C116:T116" si="3">C143</f>
        <v>88.183288409703508</v>
      </c>
      <c r="D116" s="150">
        <f t="shared" si="3"/>
        <v>100.16578947368421</v>
      </c>
      <c r="E116" s="150">
        <f t="shared" si="3"/>
        <v>98.813071895424827</v>
      </c>
      <c r="F116" s="150">
        <f t="shared" si="3"/>
        <v>95.745358090185661</v>
      </c>
      <c r="G116" s="150">
        <f t="shared" si="3"/>
        <v>100.61488250652742</v>
      </c>
      <c r="H116" s="150">
        <f t="shared" si="3"/>
        <v>104.45921052631579</v>
      </c>
      <c r="I116" s="150">
        <f t="shared" si="3"/>
        <v>115.56870229007635</v>
      </c>
      <c r="J116" s="150">
        <f t="shared" si="3"/>
        <v>114.07240948813984</v>
      </c>
      <c r="K116" s="150">
        <f t="shared" si="3"/>
        <v>119.12626262626262</v>
      </c>
      <c r="L116" s="150">
        <f t="shared" si="3"/>
        <v>126.41542002301495</v>
      </c>
      <c r="M116" s="150">
        <f t="shared" si="3"/>
        <v>112.74944567627495</v>
      </c>
      <c r="N116" s="150">
        <f t="shared" si="3"/>
        <v>129.11380400421496</v>
      </c>
      <c r="O116" s="150">
        <f t="shared" si="3"/>
        <v>141.20340681362725</v>
      </c>
      <c r="P116" s="150">
        <f t="shared" si="3"/>
        <v>147.92245720040282</v>
      </c>
      <c r="Q116" s="150">
        <f t="shared" si="3"/>
        <v>146.96256157635469</v>
      </c>
      <c r="R116" s="150">
        <f t="shared" si="3"/>
        <v>148.32048681541582</v>
      </c>
      <c r="S116" s="150">
        <f t="shared" si="3"/>
        <v>162.34146341463415</v>
      </c>
      <c r="T116" s="150">
        <f t="shared" si="3"/>
        <v>156.36799999999999</v>
      </c>
      <c r="U116" s="150">
        <f>U143</f>
        <v>166.34095238095236</v>
      </c>
      <c r="V116" s="150">
        <f>V143</f>
        <v>165.6824512534819</v>
      </c>
    </row>
    <row r="117" spans="1:96" s="2" customFormat="1" ht="12" customHeight="1" x14ac:dyDescent="0.3">
      <c r="A117" s="4"/>
      <c r="B117" s="91"/>
      <c r="C117" s="91"/>
      <c r="D117" s="91"/>
      <c r="E117" s="91"/>
      <c r="F117" s="91"/>
      <c r="G117" s="91"/>
      <c r="H117" s="91"/>
      <c r="I117" s="91"/>
      <c r="J117" s="91"/>
      <c r="K117" s="91"/>
      <c r="L117" s="91"/>
      <c r="M117" s="91"/>
      <c r="N117" s="91"/>
      <c r="O117" s="91"/>
      <c r="P117" s="91"/>
      <c r="Q117" s="91"/>
      <c r="R117" s="91"/>
      <c r="S117" s="91"/>
      <c r="T117" s="469">
        <f>T115-T116</f>
        <v>-13.662999999999982</v>
      </c>
      <c r="U117" s="469">
        <f>U115-U116</f>
        <v>-10.073333333333323</v>
      </c>
      <c r="V117" s="469">
        <f>V115-V116</f>
        <v>-5.7836583101206998</v>
      </c>
      <c r="W117" s="4">
        <f>(T117+U117+V117)/3</f>
        <v>-9.8399972144846686</v>
      </c>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row>
    <row r="118" spans="1:96" s="4" customFormat="1" ht="12" customHeight="1" x14ac:dyDescent="0.3">
      <c r="A118" s="4" t="s">
        <v>174</v>
      </c>
      <c r="B118" s="91"/>
      <c r="C118" s="91"/>
      <c r="D118" s="91"/>
      <c r="E118" s="91"/>
      <c r="F118" s="91"/>
      <c r="G118" s="91"/>
      <c r="H118" s="91"/>
      <c r="I118" s="91"/>
      <c r="J118" s="91"/>
      <c r="K118" s="91"/>
      <c r="L118" s="91"/>
      <c r="M118" s="91"/>
      <c r="N118" s="91"/>
      <c r="O118" s="91"/>
      <c r="P118" s="91"/>
      <c r="Q118" s="91"/>
      <c r="R118" s="91"/>
      <c r="S118" s="91"/>
      <c r="T118" s="91"/>
    </row>
    <row r="119" spans="1:96" s="2" customFormat="1" x14ac:dyDescent="0.3">
      <c r="A119" s="4"/>
      <c r="B119" s="91"/>
      <c r="C119" s="91"/>
      <c r="D119" s="91"/>
      <c r="E119" s="91"/>
      <c r="F119" s="91"/>
      <c r="G119" s="91"/>
      <c r="H119" s="91"/>
      <c r="I119" s="91"/>
      <c r="J119" s="91"/>
      <c r="K119" s="91"/>
      <c r="L119" s="91"/>
      <c r="M119" s="91"/>
      <c r="N119" s="91"/>
      <c r="O119" s="91"/>
      <c r="P119" s="91"/>
      <c r="Q119" s="91"/>
      <c r="R119" s="91"/>
      <c r="S119" s="91"/>
      <c r="T119" s="91"/>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row>
    <row r="120" spans="1:96" s="91" customFormat="1" x14ac:dyDescent="0.3">
      <c r="A120" s="4"/>
      <c r="W120" s="496" t="s">
        <v>570</v>
      </c>
    </row>
    <row r="121" spans="1:96" s="91" customFormat="1" x14ac:dyDescent="0.3">
      <c r="A121" s="4"/>
      <c r="U121" s="469"/>
    </row>
    <row r="122" spans="1:96" s="91" customFormat="1" x14ac:dyDescent="0.3">
      <c r="A122" s="4"/>
    </row>
    <row r="123" spans="1:96" s="91" customFormat="1" x14ac:dyDescent="0.3">
      <c r="A123" s="4"/>
    </row>
    <row r="124" spans="1:96" s="91" customFormat="1" x14ac:dyDescent="0.3">
      <c r="A124" s="4"/>
    </row>
    <row r="125" spans="1:96" s="91" customFormat="1" x14ac:dyDescent="0.3">
      <c r="A125" s="4"/>
    </row>
    <row r="126" spans="1:96" s="91" customFormat="1" x14ac:dyDescent="0.3">
      <c r="A126" s="4"/>
    </row>
    <row r="127" spans="1:96" s="91" customFormat="1" x14ac:dyDescent="0.3">
      <c r="A127" s="4"/>
    </row>
    <row r="128" spans="1:96" s="91" customFormat="1" x14ac:dyDescent="0.3">
      <c r="A128" s="4"/>
    </row>
    <row r="129" spans="1:96" s="91" customFormat="1" x14ac:dyDescent="0.3">
      <c r="A129" s="4"/>
    </row>
    <row r="130" spans="1:96" s="91" customFormat="1" x14ac:dyDescent="0.3">
      <c r="A130" s="4"/>
    </row>
    <row r="131" spans="1:96" s="91" customFormat="1" x14ac:dyDescent="0.3">
      <c r="A131" s="4"/>
    </row>
    <row r="132" spans="1:96" s="91" customFormat="1" x14ac:dyDescent="0.3">
      <c r="A132" s="4"/>
    </row>
    <row r="133" spans="1:96" s="91" customFormat="1" x14ac:dyDescent="0.3">
      <c r="A133" s="4"/>
    </row>
    <row r="134" spans="1:96" s="91" customFormat="1" x14ac:dyDescent="0.3">
      <c r="A134" s="4"/>
    </row>
    <row r="135" spans="1:96" s="465" customFormat="1" x14ac:dyDescent="0.3">
      <c r="A135" s="4"/>
    </row>
    <row r="136" spans="1:96" s="91" customFormat="1" x14ac:dyDescent="0.3">
      <c r="A136" s="4" t="s">
        <v>922</v>
      </c>
    </row>
    <row r="137" spans="1:96" s="106" customFormat="1" x14ac:dyDescent="0.3">
      <c r="A137" s="104" t="s">
        <v>199</v>
      </c>
      <c r="B137" s="203" t="s">
        <v>0</v>
      </c>
      <c r="C137" s="105" t="s">
        <v>1</v>
      </c>
      <c r="D137" s="105" t="s">
        <v>2</v>
      </c>
      <c r="E137" s="105" t="s">
        <v>3</v>
      </c>
      <c r="F137" s="105" t="s">
        <v>4</v>
      </c>
      <c r="G137" s="105" t="s">
        <v>5</v>
      </c>
      <c r="H137" s="105" t="s">
        <v>6</v>
      </c>
      <c r="I137" s="105" t="s">
        <v>7</v>
      </c>
      <c r="J137" s="105" t="s">
        <v>8</v>
      </c>
      <c r="K137" s="105" t="s">
        <v>9</v>
      </c>
      <c r="L137" s="105" t="s">
        <v>10</v>
      </c>
      <c r="M137" s="105" t="s">
        <v>11</v>
      </c>
      <c r="N137" s="105" t="s">
        <v>12</v>
      </c>
      <c r="O137" s="105" t="s">
        <v>13</v>
      </c>
      <c r="P137" s="105" t="s">
        <v>14</v>
      </c>
      <c r="Q137" s="105" t="s">
        <v>15</v>
      </c>
      <c r="R137" s="105" t="s">
        <v>16</v>
      </c>
      <c r="S137" s="105" t="s">
        <v>17</v>
      </c>
      <c r="T137" s="105" t="s">
        <v>18</v>
      </c>
      <c r="U137" s="183">
        <v>2017</v>
      </c>
      <c r="V137" s="105">
        <v>2018</v>
      </c>
      <c r="W137" s="392"/>
      <c r="X137" s="392"/>
      <c r="Y137" s="392"/>
      <c r="Z137" s="392"/>
      <c r="AA137" s="392"/>
      <c r="AB137" s="392"/>
      <c r="AC137" s="392"/>
      <c r="AD137" s="392"/>
      <c r="AE137" s="392"/>
      <c r="AF137" s="392"/>
      <c r="AG137" s="392"/>
      <c r="AH137" s="392"/>
      <c r="AI137" s="392"/>
      <c r="AJ137" s="392"/>
      <c r="AK137" s="392"/>
      <c r="AL137" s="392"/>
      <c r="AM137" s="392"/>
      <c r="AN137" s="392"/>
      <c r="AO137" s="392"/>
      <c r="AP137" s="392"/>
      <c r="AQ137" s="392"/>
      <c r="AR137" s="392"/>
      <c r="AS137" s="392"/>
      <c r="AT137" s="392"/>
      <c r="AU137" s="392"/>
      <c r="AV137" s="392"/>
      <c r="AW137" s="392"/>
      <c r="AX137" s="392"/>
      <c r="AY137" s="392"/>
      <c r="AZ137" s="392"/>
      <c r="BA137" s="392"/>
      <c r="BB137" s="392"/>
      <c r="BC137" s="392"/>
      <c r="BD137" s="392"/>
      <c r="BE137" s="392"/>
      <c r="BF137" s="392"/>
      <c r="BG137" s="392"/>
      <c r="BH137" s="392"/>
      <c r="BI137" s="392"/>
      <c r="BJ137" s="392"/>
      <c r="BK137" s="392"/>
      <c r="BL137" s="392"/>
      <c r="BM137" s="392"/>
      <c r="BN137" s="392"/>
      <c r="BO137" s="392"/>
      <c r="BP137" s="392"/>
      <c r="BQ137" s="392"/>
      <c r="BR137" s="392"/>
      <c r="BS137" s="392"/>
      <c r="BT137" s="392"/>
      <c r="BU137" s="392"/>
      <c r="BV137" s="392"/>
      <c r="BW137" s="392"/>
      <c r="BX137" s="392"/>
      <c r="BY137" s="392"/>
      <c r="BZ137" s="392"/>
      <c r="CA137" s="392"/>
      <c r="CB137" s="392"/>
    </row>
    <row r="138" spans="1:96" s="91" customFormat="1" x14ac:dyDescent="0.3">
      <c r="A138" s="31" t="s">
        <v>163</v>
      </c>
      <c r="B138" s="383">
        <f t="shared" ref="B138:U138" si="4">(B177/1000)/B201</f>
        <v>135.46820027063598</v>
      </c>
      <c r="C138" s="322">
        <f t="shared" si="4"/>
        <v>137.94070080862534</v>
      </c>
      <c r="D138" s="322">
        <f t="shared" si="4"/>
        <v>148.46578947368423</v>
      </c>
      <c r="E138" s="322">
        <f t="shared" si="4"/>
        <v>148.94248366013073</v>
      </c>
      <c r="F138" s="322">
        <f t="shared" si="4"/>
        <v>152.20954907161806</v>
      </c>
      <c r="G138" s="322">
        <f t="shared" si="4"/>
        <v>145.72193211488252</v>
      </c>
      <c r="H138" s="322">
        <f t="shared" si="4"/>
        <v>147.79473684210527</v>
      </c>
      <c r="I138" s="322">
        <f t="shared" si="4"/>
        <v>155.1145038167939</v>
      </c>
      <c r="J138" s="322">
        <f t="shared" si="4"/>
        <v>191.49438202247194</v>
      </c>
      <c r="K138" s="322">
        <f t="shared" si="4"/>
        <v>161.83838383838381</v>
      </c>
      <c r="L138" s="322">
        <f t="shared" si="4"/>
        <v>163.87111622554659</v>
      </c>
      <c r="M138" s="322">
        <f t="shared" si="4"/>
        <v>139.3170731707317</v>
      </c>
      <c r="N138" s="322">
        <f t="shared" si="4"/>
        <v>152.27397260273972</v>
      </c>
      <c r="O138" s="322">
        <f t="shared" si="4"/>
        <v>163.20941883767537</v>
      </c>
      <c r="P138" s="322">
        <f t="shared" si="4"/>
        <v>153.57603222557907</v>
      </c>
      <c r="Q138" s="322">
        <f t="shared" si="4"/>
        <v>148.98817733990151</v>
      </c>
      <c r="R138" s="322">
        <f t="shared" si="4"/>
        <v>148.95740365111564</v>
      </c>
      <c r="S138" s="322">
        <f t="shared" si="4"/>
        <v>141.74337221633084</v>
      </c>
      <c r="T138" s="322">
        <f t="shared" si="4"/>
        <v>142.70500000000001</v>
      </c>
      <c r="U138" s="389">
        <f t="shared" si="4"/>
        <v>156.26761904761904</v>
      </c>
      <c r="V138" s="322">
        <f>(V177/1000)/V201</f>
        <v>159.8987929433612</v>
      </c>
      <c r="W138" s="392"/>
      <c r="X138" s="392"/>
      <c r="Y138" s="392"/>
      <c r="Z138" s="392"/>
      <c r="AA138" s="392"/>
      <c r="AB138" s="392"/>
      <c r="AC138" s="392"/>
      <c r="AD138" s="392"/>
      <c r="AE138" s="392"/>
      <c r="AF138" s="392"/>
      <c r="AG138" s="392"/>
      <c r="AH138" s="392"/>
      <c r="AI138" s="392"/>
      <c r="AJ138" s="392"/>
      <c r="AK138" s="392"/>
      <c r="AL138" s="392"/>
      <c r="AM138" s="392"/>
      <c r="AN138" s="392"/>
      <c r="AO138" s="392"/>
      <c r="AP138" s="392"/>
      <c r="AQ138" s="392"/>
      <c r="AR138" s="392"/>
      <c r="AS138" s="392"/>
      <c r="AT138" s="392"/>
      <c r="AU138" s="392"/>
      <c r="AV138" s="392"/>
      <c r="AW138" s="392"/>
      <c r="AX138" s="392"/>
      <c r="AY138" s="392"/>
      <c r="AZ138" s="392"/>
      <c r="BA138" s="392"/>
      <c r="BB138" s="392"/>
      <c r="BC138" s="392"/>
      <c r="BD138" s="392"/>
      <c r="BE138" s="392"/>
      <c r="BF138" s="392"/>
      <c r="BG138" s="392"/>
      <c r="BH138" s="392"/>
      <c r="BI138" s="392"/>
      <c r="BJ138" s="392"/>
      <c r="BK138" s="392"/>
      <c r="BL138" s="392"/>
      <c r="BM138" s="392"/>
      <c r="BN138" s="392"/>
      <c r="BO138" s="392"/>
      <c r="BP138" s="392"/>
      <c r="BQ138" s="392"/>
      <c r="BR138" s="392"/>
      <c r="BS138" s="392"/>
      <c r="BT138" s="392"/>
      <c r="BU138" s="392"/>
      <c r="BV138" s="392"/>
      <c r="BW138" s="392"/>
      <c r="BX138" s="392"/>
      <c r="BY138" s="392"/>
      <c r="BZ138" s="392"/>
      <c r="CA138" s="392"/>
      <c r="CB138" s="392"/>
    </row>
    <row r="139" spans="1:96" s="91" customFormat="1" x14ac:dyDescent="0.3">
      <c r="A139" s="31" t="s">
        <v>164</v>
      </c>
      <c r="B139" s="383">
        <f t="shared" ref="B139:U139" si="5">(B178/1000)/B199</f>
        <v>131.91510611735333</v>
      </c>
      <c r="C139" s="322">
        <f t="shared" si="5"/>
        <v>138.47236180904525</v>
      </c>
      <c r="D139" s="322">
        <f t="shared" si="5"/>
        <v>144.62668298653608</v>
      </c>
      <c r="E139" s="322">
        <f t="shared" si="5"/>
        <v>156.85049019607843</v>
      </c>
      <c r="F139" s="322">
        <f t="shared" si="5"/>
        <v>175.32408575031528</v>
      </c>
      <c r="G139" s="322">
        <f t="shared" si="5"/>
        <v>175.56423173803526</v>
      </c>
      <c r="H139" s="322">
        <f t="shared" si="5"/>
        <v>183.9808429118774</v>
      </c>
      <c r="I139" s="322">
        <f t="shared" si="5"/>
        <v>196.89259259259259</v>
      </c>
      <c r="J139" s="322">
        <f t="shared" si="5"/>
        <v>223.36341756919376</v>
      </c>
      <c r="K139" s="322">
        <f t="shared" si="5"/>
        <v>204.17224880382776</v>
      </c>
      <c r="L139" s="322">
        <f t="shared" si="5"/>
        <v>194.66773162939296</v>
      </c>
      <c r="M139" s="322">
        <f t="shared" si="5"/>
        <v>172.47181628392485</v>
      </c>
      <c r="N139" s="322">
        <f t="shared" si="5"/>
        <v>189.59879032258064</v>
      </c>
      <c r="O139" s="322">
        <f t="shared" si="5"/>
        <v>192.06880301602263</v>
      </c>
      <c r="P139" s="322">
        <f t="shared" si="5"/>
        <v>198.30769230769232</v>
      </c>
      <c r="Q139" s="322">
        <f t="shared" si="5"/>
        <v>205.78927563499531</v>
      </c>
      <c r="R139" s="322">
        <f t="shared" si="5"/>
        <v>220.02257114818448</v>
      </c>
      <c r="S139" s="322">
        <f t="shared" si="5"/>
        <v>229.71041666666667</v>
      </c>
      <c r="T139" s="322">
        <f t="shared" si="5"/>
        <v>237.06700000000001</v>
      </c>
      <c r="U139" s="389">
        <f t="shared" si="5"/>
        <v>245.54743833017079</v>
      </c>
      <c r="V139" s="322">
        <f>(V178/1000)/V199</f>
        <v>244.62523020257831</v>
      </c>
      <c r="W139" s="392"/>
      <c r="X139" s="392"/>
      <c r="Y139" s="392"/>
      <c r="Z139" s="392"/>
      <c r="AA139" s="392"/>
      <c r="AB139" s="392"/>
      <c r="AC139" s="392"/>
      <c r="AD139" s="392"/>
      <c r="AE139" s="392"/>
      <c r="AF139" s="392"/>
      <c r="AG139" s="392"/>
      <c r="AH139" s="392"/>
      <c r="AI139" s="392"/>
      <c r="AJ139" s="392"/>
      <c r="AK139" s="392"/>
      <c r="AL139" s="392"/>
      <c r="AM139" s="392"/>
      <c r="AN139" s="392"/>
      <c r="AO139" s="392"/>
      <c r="AP139" s="392"/>
      <c r="AQ139" s="392"/>
      <c r="AR139" s="392"/>
      <c r="AS139" s="392"/>
      <c r="AT139" s="392"/>
      <c r="AU139" s="392"/>
      <c r="AV139" s="392"/>
      <c r="AW139" s="392"/>
      <c r="AX139" s="392"/>
      <c r="AY139" s="392"/>
      <c r="AZ139" s="392"/>
      <c r="BA139" s="392"/>
      <c r="BB139" s="392"/>
      <c r="BC139" s="392"/>
      <c r="BD139" s="392"/>
      <c r="BE139" s="392"/>
      <c r="BF139" s="392"/>
      <c r="BG139" s="392"/>
      <c r="BH139" s="392"/>
      <c r="BI139" s="392"/>
      <c r="BJ139" s="392"/>
      <c r="BK139" s="392"/>
      <c r="BL139" s="392"/>
      <c r="BM139" s="392"/>
      <c r="BN139" s="392"/>
      <c r="BO139" s="392"/>
      <c r="BP139" s="392"/>
      <c r="BQ139" s="392"/>
      <c r="BR139" s="392"/>
      <c r="BS139" s="392"/>
      <c r="BT139" s="392"/>
      <c r="BU139" s="392"/>
      <c r="BV139" s="392"/>
      <c r="BW139" s="392"/>
      <c r="BX139" s="392"/>
      <c r="BY139" s="392"/>
      <c r="BZ139" s="392"/>
      <c r="CA139" s="392"/>
      <c r="CB139" s="392"/>
    </row>
    <row r="140" spans="1:96" s="148" customFormat="1" ht="13.2" customHeight="1" x14ac:dyDescent="0.3">
      <c r="A140" s="153" t="s">
        <v>34</v>
      </c>
      <c r="B140" s="386">
        <f>B138-B139</f>
        <v>3.5530941532826432</v>
      </c>
      <c r="C140" s="387">
        <f t="shared" ref="C140:T140" si="6">C138-C139</f>
        <v>-0.53166100041991626</v>
      </c>
      <c r="D140" s="387">
        <f t="shared" si="6"/>
        <v>3.8391064871481433</v>
      </c>
      <c r="E140" s="387">
        <f t="shared" si="6"/>
        <v>-7.9080065359476919</v>
      </c>
      <c r="F140" s="387">
        <f t="shared" si="6"/>
        <v>-23.11453667869722</v>
      </c>
      <c r="G140" s="387">
        <f t="shared" si="6"/>
        <v>-29.842299623152741</v>
      </c>
      <c r="H140" s="387">
        <f t="shared" si="6"/>
        <v>-36.186106069772137</v>
      </c>
      <c r="I140" s="387">
        <f t="shared" si="6"/>
        <v>-41.778088775798693</v>
      </c>
      <c r="J140" s="387">
        <f t="shared" si="6"/>
        <v>-31.869035546721818</v>
      </c>
      <c r="K140" s="387">
        <f t="shared" si="6"/>
        <v>-42.333864965443951</v>
      </c>
      <c r="L140" s="387">
        <f t="shared" si="6"/>
        <v>-30.796615403846374</v>
      </c>
      <c r="M140" s="387">
        <f t="shared" si="6"/>
        <v>-33.154743113193149</v>
      </c>
      <c r="N140" s="387">
        <f t="shared" si="6"/>
        <v>-37.324817719840922</v>
      </c>
      <c r="O140" s="387">
        <f t="shared" si="6"/>
        <v>-28.859384178347256</v>
      </c>
      <c r="P140" s="387">
        <f t="shared" si="6"/>
        <v>-44.731660082113251</v>
      </c>
      <c r="Q140" s="387">
        <f t="shared" si="6"/>
        <v>-56.801098295093794</v>
      </c>
      <c r="R140" s="387">
        <f t="shared" si="6"/>
        <v>-71.065167497068842</v>
      </c>
      <c r="S140" s="387">
        <f t="shared" si="6"/>
        <v>-87.967044450335834</v>
      </c>
      <c r="T140" s="387">
        <f t="shared" si="6"/>
        <v>-94.361999999999995</v>
      </c>
      <c r="U140" s="390">
        <f>U138-U139</f>
        <v>-89.279819282551756</v>
      </c>
      <c r="V140" s="387">
        <f>V138-V139</f>
        <v>-84.726437259217107</v>
      </c>
      <c r="W140" s="393"/>
      <c r="X140" s="393"/>
      <c r="Y140" s="393"/>
      <c r="Z140" s="393"/>
      <c r="AA140" s="393"/>
      <c r="AB140" s="393"/>
      <c r="AC140" s="393"/>
      <c r="AD140" s="393"/>
      <c r="AE140" s="393"/>
      <c r="AF140" s="393"/>
      <c r="AG140" s="393"/>
      <c r="AH140" s="393"/>
      <c r="AI140" s="393"/>
      <c r="AJ140" s="393"/>
      <c r="AK140" s="393"/>
      <c r="AL140" s="393"/>
      <c r="AM140" s="393"/>
      <c r="AN140" s="393"/>
      <c r="AO140" s="393"/>
      <c r="AP140" s="393"/>
      <c r="AQ140" s="393"/>
      <c r="AR140" s="393"/>
      <c r="AS140" s="393"/>
      <c r="AT140" s="393"/>
      <c r="AU140" s="393"/>
      <c r="AV140" s="393"/>
      <c r="AW140" s="393"/>
      <c r="AX140" s="393"/>
      <c r="AY140" s="393"/>
      <c r="AZ140" s="393"/>
      <c r="BA140" s="393"/>
      <c r="BB140" s="393"/>
      <c r="BC140" s="393"/>
      <c r="BD140" s="393"/>
      <c r="BE140" s="393"/>
      <c r="BF140" s="393"/>
      <c r="BG140" s="393"/>
      <c r="BH140" s="393"/>
      <c r="BI140" s="393"/>
      <c r="BJ140" s="393"/>
      <c r="BK140" s="393"/>
      <c r="BL140" s="393"/>
      <c r="BM140" s="393"/>
      <c r="BN140" s="393"/>
      <c r="BO140" s="393"/>
      <c r="BP140" s="393"/>
      <c r="BQ140" s="393"/>
      <c r="BR140" s="393"/>
      <c r="BS140" s="393"/>
      <c r="BT140" s="393"/>
      <c r="BU140" s="393"/>
      <c r="BV140" s="393"/>
      <c r="BW140" s="393"/>
      <c r="BX140" s="393"/>
      <c r="BY140" s="393"/>
      <c r="BZ140" s="393"/>
      <c r="CA140" s="393"/>
      <c r="CB140" s="393"/>
      <c r="CC140" s="147"/>
      <c r="CD140" s="147"/>
      <c r="CE140" s="147"/>
      <c r="CF140" s="147"/>
      <c r="CG140" s="147"/>
      <c r="CH140" s="147"/>
      <c r="CI140" s="147"/>
      <c r="CJ140" s="147"/>
      <c r="CK140" s="147"/>
      <c r="CL140" s="147"/>
      <c r="CM140" s="147"/>
      <c r="CN140" s="147"/>
      <c r="CO140" s="147"/>
      <c r="CP140" s="147"/>
      <c r="CQ140" s="147"/>
    </row>
    <row r="141" spans="1:96" s="4" customFormat="1" ht="12" customHeight="1" x14ac:dyDescent="0.3">
      <c r="B141" s="384"/>
      <c r="C141" s="21"/>
      <c r="D141" s="21"/>
      <c r="E141" s="21"/>
      <c r="F141" s="21"/>
      <c r="G141" s="21"/>
      <c r="H141" s="21"/>
      <c r="I141" s="21"/>
      <c r="J141" s="21"/>
      <c r="K141" s="21"/>
      <c r="L141" s="21"/>
      <c r="M141" s="21"/>
      <c r="N141" s="21"/>
      <c r="O141" s="21"/>
      <c r="P141" s="21"/>
      <c r="Q141" s="21"/>
      <c r="R141" s="21"/>
      <c r="S141" s="21"/>
      <c r="T141" s="21"/>
      <c r="U141" s="615">
        <f>U138+U139</f>
        <v>401.8150573777898</v>
      </c>
      <c r="V141" s="21"/>
      <c r="W141" s="394"/>
      <c r="X141" s="394"/>
      <c r="Y141" s="394"/>
      <c r="Z141" s="394"/>
      <c r="AA141" s="394"/>
      <c r="AB141" s="394"/>
      <c r="AC141" s="394"/>
      <c r="AD141" s="394"/>
      <c r="AE141" s="394"/>
      <c r="AF141" s="394"/>
      <c r="AG141" s="394"/>
      <c r="AH141" s="394"/>
      <c r="AI141" s="394"/>
      <c r="AJ141" s="394"/>
      <c r="AK141" s="394"/>
      <c r="AL141" s="394"/>
      <c r="AM141" s="394"/>
      <c r="AN141" s="394"/>
      <c r="AO141" s="394"/>
      <c r="AP141" s="394"/>
      <c r="AQ141" s="394"/>
      <c r="AR141" s="394"/>
      <c r="AS141" s="394"/>
      <c r="AT141" s="394"/>
      <c r="AU141" s="394"/>
      <c r="AV141" s="394"/>
      <c r="AW141" s="394"/>
      <c r="AX141" s="394"/>
      <c r="AY141" s="394"/>
      <c r="AZ141" s="394"/>
      <c r="BA141" s="394"/>
      <c r="BB141" s="394"/>
      <c r="BC141" s="394"/>
      <c r="BD141" s="394"/>
      <c r="BE141" s="394"/>
      <c r="BF141" s="394"/>
      <c r="BG141" s="394"/>
      <c r="BH141" s="394"/>
      <c r="BI141" s="394"/>
      <c r="BJ141" s="394"/>
      <c r="BK141" s="394"/>
      <c r="BL141" s="394"/>
      <c r="BM141" s="394"/>
      <c r="BN141" s="394"/>
      <c r="BO141" s="394"/>
      <c r="BP141" s="394"/>
      <c r="BQ141" s="394"/>
      <c r="BR141" s="394"/>
      <c r="BS141" s="394"/>
      <c r="BT141" s="394"/>
      <c r="BU141" s="394"/>
      <c r="BV141" s="394"/>
      <c r="BW141" s="394"/>
      <c r="BX141" s="394"/>
      <c r="BY141" s="394"/>
      <c r="BZ141" s="394"/>
      <c r="CA141" s="394"/>
      <c r="CB141" s="394"/>
    </row>
    <row r="142" spans="1:96" s="108" customFormat="1" x14ac:dyDescent="0.3">
      <c r="A142" s="104" t="s">
        <v>198</v>
      </c>
      <c r="B142" s="203" t="s">
        <v>0</v>
      </c>
      <c r="C142" s="105" t="s">
        <v>1</v>
      </c>
      <c r="D142" s="105" t="s">
        <v>2</v>
      </c>
      <c r="E142" s="105" t="s">
        <v>3</v>
      </c>
      <c r="F142" s="105" t="s">
        <v>4</v>
      </c>
      <c r="G142" s="105" t="s">
        <v>5</v>
      </c>
      <c r="H142" s="105" t="s">
        <v>6</v>
      </c>
      <c r="I142" s="105" t="s">
        <v>7</v>
      </c>
      <c r="J142" s="105" t="s">
        <v>8</v>
      </c>
      <c r="K142" s="105" t="s">
        <v>9</v>
      </c>
      <c r="L142" s="105" t="s">
        <v>10</v>
      </c>
      <c r="M142" s="105" t="s">
        <v>11</v>
      </c>
      <c r="N142" s="105" t="s">
        <v>12</v>
      </c>
      <c r="O142" s="105" t="s">
        <v>13</v>
      </c>
      <c r="P142" s="105" t="s">
        <v>14</v>
      </c>
      <c r="Q142" s="105" t="s">
        <v>15</v>
      </c>
      <c r="R142" s="105" t="s">
        <v>16</v>
      </c>
      <c r="S142" s="105" t="s">
        <v>17</v>
      </c>
      <c r="T142" s="105" t="s">
        <v>18</v>
      </c>
      <c r="U142" s="183">
        <v>2017</v>
      </c>
      <c r="V142" s="105">
        <v>2018</v>
      </c>
      <c r="W142" s="394"/>
      <c r="X142" s="394"/>
      <c r="Y142" s="394"/>
      <c r="Z142" s="394"/>
      <c r="AA142" s="394"/>
      <c r="AB142" s="394"/>
      <c r="AC142" s="394"/>
      <c r="AD142" s="394"/>
      <c r="AE142" s="394"/>
      <c r="AF142" s="394"/>
      <c r="AG142" s="394"/>
      <c r="AH142" s="394"/>
      <c r="AI142" s="394"/>
      <c r="AJ142" s="394"/>
      <c r="AK142" s="394"/>
      <c r="AL142" s="394"/>
      <c r="AM142" s="394"/>
      <c r="AN142" s="394"/>
      <c r="AO142" s="394"/>
      <c r="AP142" s="394"/>
      <c r="AQ142" s="394"/>
      <c r="AR142" s="394"/>
      <c r="AS142" s="394"/>
      <c r="AT142" s="394"/>
      <c r="AU142" s="394"/>
      <c r="AV142" s="394"/>
      <c r="AW142" s="394"/>
      <c r="AX142" s="394"/>
      <c r="AY142" s="394"/>
      <c r="AZ142" s="394"/>
      <c r="BA142" s="394"/>
      <c r="BB142" s="394"/>
      <c r="BC142" s="394"/>
      <c r="BD142" s="394"/>
      <c r="BE142" s="394"/>
      <c r="BF142" s="394"/>
      <c r="BG142" s="394"/>
      <c r="BH142" s="394"/>
      <c r="BI142" s="394"/>
      <c r="BJ142" s="394"/>
      <c r="BK142" s="394"/>
      <c r="BL142" s="394"/>
      <c r="BM142" s="394"/>
      <c r="BN142" s="394"/>
      <c r="BO142" s="394"/>
      <c r="BP142" s="394"/>
      <c r="BQ142" s="394"/>
      <c r="BR142" s="394"/>
      <c r="BS142" s="394"/>
      <c r="BT142" s="394"/>
      <c r="BU142" s="394"/>
      <c r="BV142" s="394"/>
      <c r="BW142" s="394"/>
      <c r="BX142" s="394"/>
      <c r="BY142" s="394"/>
      <c r="BZ142" s="394"/>
      <c r="CA142" s="394"/>
      <c r="CB142" s="394"/>
      <c r="CC142" s="107"/>
      <c r="CD142" s="107"/>
      <c r="CE142" s="107"/>
      <c r="CF142" s="107"/>
      <c r="CG142" s="107"/>
      <c r="CH142" s="107"/>
      <c r="CI142" s="107"/>
      <c r="CJ142" s="107"/>
      <c r="CK142" s="107"/>
      <c r="CL142" s="107"/>
      <c r="CM142" s="107"/>
      <c r="CN142" s="107"/>
      <c r="CO142" s="107"/>
      <c r="CP142" s="107"/>
      <c r="CQ142" s="107"/>
      <c r="CR142" s="107"/>
    </row>
    <row r="143" spans="1:96" s="91" customFormat="1" x14ac:dyDescent="0.3">
      <c r="A143" s="31" t="s">
        <v>167</v>
      </c>
      <c r="B143" s="385">
        <f t="shared" ref="B143:U143" si="7">(B184/1000)/B201</f>
        <v>88.184032476319345</v>
      </c>
      <c r="C143" s="321">
        <f t="shared" si="7"/>
        <v>88.183288409703508</v>
      </c>
      <c r="D143" s="321">
        <f t="shared" si="7"/>
        <v>100.16578947368421</v>
      </c>
      <c r="E143" s="321">
        <f t="shared" si="7"/>
        <v>98.813071895424827</v>
      </c>
      <c r="F143" s="321">
        <f t="shared" si="7"/>
        <v>95.745358090185661</v>
      </c>
      <c r="G143" s="321">
        <f t="shared" si="7"/>
        <v>100.61488250652742</v>
      </c>
      <c r="H143" s="321">
        <f t="shared" si="7"/>
        <v>104.45921052631579</v>
      </c>
      <c r="I143" s="321">
        <f t="shared" si="7"/>
        <v>115.56870229007635</v>
      </c>
      <c r="J143" s="321">
        <f t="shared" si="7"/>
        <v>114.07240948813984</v>
      </c>
      <c r="K143" s="321">
        <f t="shared" si="7"/>
        <v>119.12626262626262</v>
      </c>
      <c r="L143" s="321">
        <f t="shared" si="7"/>
        <v>126.41542002301495</v>
      </c>
      <c r="M143" s="321">
        <f t="shared" si="7"/>
        <v>112.74944567627495</v>
      </c>
      <c r="N143" s="321">
        <f t="shared" si="7"/>
        <v>129.11380400421496</v>
      </c>
      <c r="O143" s="321">
        <f t="shared" si="7"/>
        <v>141.20340681362725</v>
      </c>
      <c r="P143" s="321">
        <f t="shared" si="7"/>
        <v>147.92245720040282</v>
      </c>
      <c r="Q143" s="321">
        <f t="shared" si="7"/>
        <v>146.96256157635469</v>
      </c>
      <c r="R143" s="321">
        <f t="shared" si="7"/>
        <v>148.32048681541582</v>
      </c>
      <c r="S143" s="321">
        <f t="shared" si="7"/>
        <v>162.34146341463415</v>
      </c>
      <c r="T143" s="321">
        <f t="shared" si="7"/>
        <v>156.36799999999999</v>
      </c>
      <c r="U143" s="391">
        <f t="shared" si="7"/>
        <v>166.34095238095236</v>
      </c>
      <c r="V143" s="321">
        <f>(V184/1000)/V201</f>
        <v>165.6824512534819</v>
      </c>
      <c r="W143" s="392"/>
      <c r="X143" s="392"/>
      <c r="Y143" s="392"/>
      <c r="Z143" s="392"/>
      <c r="AA143" s="392"/>
      <c r="AB143" s="392"/>
      <c r="AC143" s="392"/>
      <c r="AD143" s="392"/>
      <c r="AE143" s="392"/>
      <c r="AF143" s="392"/>
      <c r="AG143" s="392"/>
      <c r="AH143" s="392"/>
      <c r="AI143" s="392"/>
      <c r="AJ143" s="392"/>
      <c r="AK143" s="392"/>
      <c r="AL143" s="392"/>
      <c r="AM143" s="392"/>
      <c r="AN143" s="392"/>
      <c r="AO143" s="392"/>
      <c r="AP143" s="392"/>
      <c r="AQ143" s="392"/>
      <c r="AR143" s="392"/>
      <c r="AS143" s="392"/>
      <c r="AT143" s="392"/>
      <c r="AU143" s="392"/>
      <c r="AV143" s="392"/>
      <c r="AW143" s="392"/>
      <c r="AX143" s="392"/>
      <c r="AY143" s="392"/>
      <c r="AZ143" s="392"/>
      <c r="BA143" s="392"/>
      <c r="BB143" s="392"/>
      <c r="BC143" s="392"/>
      <c r="BD143" s="392"/>
      <c r="BE143" s="392"/>
      <c r="BF143" s="392"/>
      <c r="BG143" s="392"/>
      <c r="BH143" s="392"/>
      <c r="BI143" s="392"/>
      <c r="BJ143" s="392"/>
      <c r="BK143" s="392"/>
      <c r="BL143" s="392"/>
      <c r="BM143" s="392"/>
      <c r="BN143" s="392"/>
      <c r="BO143" s="392"/>
      <c r="BP143" s="392"/>
      <c r="BQ143" s="392"/>
      <c r="BR143" s="392"/>
      <c r="BS143" s="392"/>
      <c r="BT143" s="392"/>
      <c r="BU143" s="392"/>
      <c r="BV143" s="392"/>
      <c r="BW143" s="392"/>
      <c r="BX143" s="392"/>
      <c r="BY143" s="392"/>
      <c r="BZ143" s="392"/>
      <c r="CA143" s="392"/>
      <c r="CB143" s="392"/>
    </row>
    <row r="144" spans="1:96" s="91" customFormat="1" x14ac:dyDescent="0.3">
      <c r="A144" s="31" t="s">
        <v>168</v>
      </c>
      <c r="B144" s="385">
        <f t="shared" ref="B144:U144" si="8">(B185/1000)/B199</f>
        <v>101.14107365792759</v>
      </c>
      <c r="C144" s="321">
        <f t="shared" si="8"/>
        <v>108.00000000000001</v>
      </c>
      <c r="D144" s="321">
        <f t="shared" si="8"/>
        <v>128.70379436964504</v>
      </c>
      <c r="E144" s="321">
        <f t="shared" si="8"/>
        <v>128.77205882352942</v>
      </c>
      <c r="F144" s="321">
        <f t="shared" si="8"/>
        <v>122.9609079445145</v>
      </c>
      <c r="G144" s="321">
        <f t="shared" si="8"/>
        <v>126.2191435768262</v>
      </c>
      <c r="H144" s="321">
        <f t="shared" si="8"/>
        <v>138.80459770114945</v>
      </c>
      <c r="I144" s="321">
        <f t="shared" si="8"/>
        <v>151.61234567901232</v>
      </c>
      <c r="J144" s="321">
        <f t="shared" si="8"/>
        <v>164.91095066185321</v>
      </c>
      <c r="K144" s="321">
        <f t="shared" si="8"/>
        <v>167.96650717703349</v>
      </c>
      <c r="L144" s="321">
        <f t="shared" si="8"/>
        <v>171.59744408945684</v>
      </c>
      <c r="M144" s="321">
        <f t="shared" si="8"/>
        <v>153.90501043841337</v>
      </c>
      <c r="N144" s="321">
        <f t="shared" si="8"/>
        <v>175.97681451612902</v>
      </c>
      <c r="O144" s="321">
        <f t="shared" si="8"/>
        <v>183.20640904806788</v>
      </c>
      <c r="P144" s="321">
        <f t="shared" si="8"/>
        <v>187.3599240265907</v>
      </c>
      <c r="Q144" s="321">
        <f t="shared" si="8"/>
        <v>188.73565380997178</v>
      </c>
      <c r="R144" s="321">
        <f t="shared" si="8"/>
        <v>187.42296368989204</v>
      </c>
      <c r="S144" s="321">
        <f t="shared" si="8"/>
        <v>191.70833333333334</v>
      </c>
      <c r="T144" s="321">
        <f t="shared" si="8"/>
        <v>194.65799999999999</v>
      </c>
      <c r="U144" s="391">
        <f t="shared" si="8"/>
        <v>205.85104364326375</v>
      </c>
      <c r="V144" s="321">
        <f>(V185/1000)/V199</f>
        <v>205.41528545119706</v>
      </c>
    </row>
    <row r="145" spans="1:96" s="149" customFormat="1" ht="12" customHeight="1" x14ac:dyDescent="0.3">
      <c r="A145" s="388" t="s">
        <v>34</v>
      </c>
      <c r="B145" s="386">
        <f t="shared" ref="B145:T145" si="9">B143-B144</f>
        <v>-12.957041181608247</v>
      </c>
      <c r="C145" s="387">
        <f t="shared" si="9"/>
        <v>-19.816711590296507</v>
      </c>
      <c r="D145" s="387">
        <f t="shared" si="9"/>
        <v>-28.538004895960825</v>
      </c>
      <c r="E145" s="387">
        <f t="shared" si="9"/>
        <v>-29.958986928104594</v>
      </c>
      <c r="F145" s="387">
        <f t="shared" si="9"/>
        <v>-27.215549854328842</v>
      </c>
      <c r="G145" s="387">
        <f t="shared" si="9"/>
        <v>-25.604261070298776</v>
      </c>
      <c r="H145" s="387">
        <f t="shared" si="9"/>
        <v>-34.345387174833661</v>
      </c>
      <c r="I145" s="387">
        <f t="shared" si="9"/>
        <v>-36.043643388935976</v>
      </c>
      <c r="J145" s="387">
        <f t="shared" si="9"/>
        <v>-50.838541173713367</v>
      </c>
      <c r="K145" s="387">
        <f t="shared" si="9"/>
        <v>-48.840244550770876</v>
      </c>
      <c r="L145" s="387">
        <f t="shared" si="9"/>
        <v>-45.182024066441898</v>
      </c>
      <c r="M145" s="387">
        <f t="shared" si="9"/>
        <v>-41.155564762138425</v>
      </c>
      <c r="N145" s="387">
        <f t="shared" si="9"/>
        <v>-46.863010511914069</v>
      </c>
      <c r="O145" s="387">
        <f t="shared" si="9"/>
        <v>-42.003002234440629</v>
      </c>
      <c r="P145" s="387">
        <f t="shared" si="9"/>
        <v>-39.437466826187887</v>
      </c>
      <c r="Q145" s="387">
        <f t="shared" si="9"/>
        <v>-41.773092233617092</v>
      </c>
      <c r="R145" s="387">
        <f t="shared" si="9"/>
        <v>-39.102476874476224</v>
      </c>
      <c r="S145" s="387">
        <f t="shared" si="9"/>
        <v>-29.366869918699194</v>
      </c>
      <c r="T145" s="387">
        <f t="shared" si="9"/>
        <v>-38.289999999999992</v>
      </c>
      <c r="U145" s="390">
        <f>U143-U144</f>
        <v>-39.510091262311391</v>
      </c>
      <c r="V145" s="387">
        <f>V143-V144</f>
        <v>-39.732834197715164</v>
      </c>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row>
    <row r="146" spans="1:96" s="2" customFormat="1" x14ac:dyDescent="0.3">
      <c r="A146" s="91"/>
      <c r="B146" s="91"/>
      <c r="C146" s="91"/>
      <c r="D146" s="91"/>
      <c r="E146" s="91"/>
      <c r="F146" s="91"/>
      <c r="G146" s="91"/>
      <c r="H146" s="91"/>
      <c r="I146" s="91"/>
      <c r="J146" s="91"/>
      <c r="K146" s="91"/>
      <c r="L146" s="91"/>
      <c r="M146" s="91"/>
      <c r="N146" s="91"/>
      <c r="O146" s="91"/>
      <c r="P146" s="91"/>
      <c r="Q146" s="91"/>
      <c r="R146" s="91"/>
      <c r="S146" s="91"/>
      <c r="T146" s="91"/>
      <c r="U146" s="616">
        <f>U143+U144</f>
        <v>372.19199602421611</v>
      </c>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row>
    <row r="147" spans="1:96" s="2" customFormat="1" ht="31.2" customHeight="1" x14ac:dyDescent="0.3">
      <c r="A147" s="237"/>
      <c r="B147" s="237"/>
      <c r="C147" s="237"/>
      <c r="D147" s="237"/>
      <c r="E147" s="237"/>
      <c r="F147" s="237"/>
      <c r="G147" s="237"/>
      <c r="H147" s="91"/>
      <c r="I147" s="91"/>
      <c r="J147" s="91"/>
      <c r="K147" s="91"/>
      <c r="L147" s="91"/>
      <c r="M147" s="91"/>
      <c r="N147" s="91"/>
      <c r="O147" s="91"/>
      <c r="P147" s="91"/>
      <c r="Q147" s="91"/>
      <c r="R147" s="91"/>
      <c r="S147" s="91"/>
      <c r="T147" s="91"/>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row>
    <row r="148" spans="1:96" s="91" customFormat="1" ht="18" x14ac:dyDescent="0.35">
      <c r="A148" s="95" t="s">
        <v>275</v>
      </c>
    </row>
    <row r="149" spans="1:96" s="91" customFormat="1" x14ac:dyDescent="0.3">
      <c r="A149" s="91" t="s">
        <v>269</v>
      </c>
    </row>
    <row r="150" spans="1:96" s="91" customFormat="1" x14ac:dyDescent="0.3">
      <c r="A150" s="92" t="s">
        <v>265</v>
      </c>
    </row>
    <row r="151" spans="1:96" s="91" customFormat="1" ht="28.8" x14ac:dyDescent="0.3">
      <c r="A151" s="187" t="s">
        <v>274</v>
      </c>
      <c r="B151" s="189">
        <v>2006</v>
      </c>
      <c r="C151" s="112">
        <v>2007</v>
      </c>
      <c r="D151" s="112">
        <v>2008</v>
      </c>
      <c r="E151" s="112">
        <v>2009</v>
      </c>
      <c r="F151" s="112">
        <v>2010</v>
      </c>
      <c r="G151" s="112">
        <v>2011</v>
      </c>
      <c r="H151" s="112">
        <v>2012</v>
      </c>
      <c r="I151" s="112">
        <v>2013</v>
      </c>
      <c r="J151" s="112">
        <v>2014</v>
      </c>
      <c r="K151" s="171">
        <v>2015</v>
      </c>
      <c r="L151" s="6"/>
      <c r="M151" s="6"/>
      <c r="N151" s="6"/>
      <c r="O151" s="6"/>
      <c r="P151" s="6"/>
      <c r="Q151" s="6"/>
      <c r="R151" s="6"/>
      <c r="S151" s="6"/>
      <c r="T151" s="6"/>
    </row>
    <row r="152" spans="1:96" s="91" customFormat="1" x14ac:dyDescent="0.3">
      <c r="A152" s="172" t="s">
        <v>89</v>
      </c>
      <c r="B152" s="195">
        <v>82</v>
      </c>
      <c r="C152" s="60">
        <v>75</v>
      </c>
      <c r="D152" s="60">
        <v>78</v>
      </c>
      <c r="E152" s="60">
        <v>76</v>
      </c>
      <c r="F152" s="60">
        <v>76</v>
      </c>
      <c r="G152" s="60">
        <v>78</v>
      </c>
      <c r="H152" s="60">
        <v>72</v>
      </c>
      <c r="I152" s="60">
        <v>69</v>
      </c>
      <c r="J152" s="60">
        <v>66</v>
      </c>
      <c r="K152" s="184">
        <v>61</v>
      </c>
      <c r="L152" s="48"/>
      <c r="M152" s="48"/>
      <c r="N152" s="48"/>
      <c r="O152" s="48"/>
      <c r="P152" s="48"/>
      <c r="Q152" s="48"/>
      <c r="R152" s="48"/>
      <c r="S152" s="48"/>
      <c r="T152" s="48"/>
    </row>
    <row r="153" spans="1:96" s="91" customFormat="1" x14ac:dyDescent="0.3">
      <c r="A153" s="70" t="s">
        <v>90</v>
      </c>
      <c r="B153" s="196">
        <v>122</v>
      </c>
      <c r="C153" s="61">
        <v>126</v>
      </c>
      <c r="D153" s="61">
        <v>122</v>
      </c>
      <c r="E153" s="61">
        <v>117</v>
      </c>
      <c r="F153" s="61">
        <v>114</v>
      </c>
      <c r="G153" s="61">
        <v>110</v>
      </c>
      <c r="H153" s="61">
        <v>108</v>
      </c>
      <c r="I153" s="61">
        <v>108</v>
      </c>
      <c r="J153" s="61">
        <v>109</v>
      </c>
      <c r="K153" s="194">
        <v>112</v>
      </c>
    </row>
    <row r="154" spans="1:96" s="6" customFormat="1" x14ac:dyDescent="0.3">
      <c r="A154" s="70" t="s">
        <v>91</v>
      </c>
      <c r="B154" s="196">
        <v>87</v>
      </c>
      <c r="C154" s="61">
        <v>84</v>
      </c>
      <c r="D154" s="61">
        <v>81</v>
      </c>
      <c r="E154" s="61">
        <v>78</v>
      </c>
      <c r="F154" s="61">
        <v>76</v>
      </c>
      <c r="G154" s="61">
        <v>75</v>
      </c>
      <c r="H154" s="61">
        <v>74</v>
      </c>
      <c r="I154" s="61">
        <v>75</v>
      </c>
      <c r="J154" s="61">
        <v>76</v>
      </c>
      <c r="K154" s="194">
        <v>76</v>
      </c>
      <c r="L154" s="91"/>
      <c r="M154" s="91"/>
      <c r="N154" s="91"/>
      <c r="O154" s="91"/>
      <c r="P154" s="91"/>
      <c r="Q154" s="91"/>
      <c r="R154" s="91"/>
      <c r="S154" s="91"/>
      <c r="T154" s="91"/>
    </row>
    <row r="155" spans="1:96" s="91" customFormat="1" x14ac:dyDescent="0.3">
      <c r="A155" s="70" t="s">
        <v>92</v>
      </c>
      <c r="B155" s="196">
        <v>101</v>
      </c>
      <c r="C155" s="61">
        <v>104</v>
      </c>
      <c r="D155" s="61">
        <v>105</v>
      </c>
      <c r="E155" s="61">
        <v>99</v>
      </c>
      <c r="F155" s="61">
        <v>96</v>
      </c>
      <c r="G155" s="61">
        <v>98</v>
      </c>
      <c r="H155" s="61">
        <v>105</v>
      </c>
      <c r="I155" s="61">
        <v>105</v>
      </c>
      <c r="J155" s="61">
        <v>107</v>
      </c>
      <c r="K155" s="194">
        <v>105</v>
      </c>
    </row>
    <row r="156" spans="1:96" s="91" customFormat="1" x14ac:dyDescent="0.3">
      <c r="A156" s="143" t="s">
        <v>93</v>
      </c>
      <c r="B156" s="197">
        <v>75</v>
      </c>
      <c r="C156" s="190">
        <v>73</v>
      </c>
      <c r="D156" s="190">
        <v>79</v>
      </c>
      <c r="E156" s="190">
        <v>87</v>
      </c>
      <c r="F156" s="190">
        <v>91</v>
      </c>
      <c r="G156" s="190">
        <v>95</v>
      </c>
      <c r="H156" s="190">
        <v>103</v>
      </c>
      <c r="I156" s="190">
        <v>106</v>
      </c>
      <c r="J156" s="190">
        <v>101</v>
      </c>
      <c r="K156" s="191">
        <v>98</v>
      </c>
    </row>
    <row r="157" spans="1:96" s="91" customFormat="1" x14ac:dyDescent="0.3"/>
    <row r="158" spans="1:96" s="91" customFormat="1" x14ac:dyDescent="0.3"/>
    <row r="159" spans="1:96" s="91" customFormat="1" x14ac:dyDescent="0.3"/>
    <row r="160" spans="1:96" s="91" customFormat="1" x14ac:dyDescent="0.3"/>
    <row r="161" spans="1:44" s="91" customFormat="1" x14ac:dyDescent="0.3"/>
    <row r="162" spans="1:44" s="91" customFormat="1" x14ac:dyDescent="0.3"/>
    <row r="163" spans="1:44" s="91" customFormat="1" x14ac:dyDescent="0.3"/>
    <row r="164" spans="1:44" s="91" customFormat="1" x14ac:dyDescent="0.3"/>
    <row r="165" spans="1:44" s="91" customFormat="1" x14ac:dyDescent="0.3"/>
    <row r="166" spans="1:44" s="91" customFormat="1" x14ac:dyDescent="0.3"/>
    <row r="167" spans="1:44" s="91" customFormat="1" x14ac:dyDescent="0.3"/>
    <row r="168" spans="1:44" s="91" customFormat="1" x14ac:dyDescent="0.3"/>
    <row r="169" spans="1:44" s="91" customFormat="1" x14ac:dyDescent="0.3"/>
    <row r="170" spans="1:44" s="91" customFormat="1" x14ac:dyDescent="0.3"/>
    <row r="171" spans="1:44" s="91" customFormat="1" x14ac:dyDescent="0.3"/>
    <row r="172" spans="1:44" s="91" customFormat="1" x14ac:dyDescent="0.3"/>
    <row r="173" spans="1:44" s="91" customFormat="1" x14ac:dyDescent="0.3"/>
    <row r="174" spans="1:44" s="91" customFormat="1" x14ac:dyDescent="0.3"/>
    <row r="175" spans="1:44" s="91" customFormat="1" ht="18" x14ac:dyDescent="0.35">
      <c r="A175" s="201" t="s">
        <v>872</v>
      </c>
      <c r="AA175" s="6" t="s">
        <v>874</v>
      </c>
    </row>
    <row r="176" spans="1:44" s="106" customFormat="1" x14ac:dyDescent="0.3">
      <c r="A176" s="104" t="s">
        <v>182</v>
      </c>
      <c r="B176" s="105">
        <v>1998</v>
      </c>
      <c r="C176" s="105" t="s">
        <v>1</v>
      </c>
      <c r="D176" s="105" t="s">
        <v>2</v>
      </c>
      <c r="E176" s="105" t="s">
        <v>3</v>
      </c>
      <c r="F176" s="105" t="s">
        <v>4</v>
      </c>
      <c r="G176" s="105" t="s">
        <v>5</v>
      </c>
      <c r="H176" s="105" t="s">
        <v>6</v>
      </c>
      <c r="I176" s="105" t="s">
        <v>7</v>
      </c>
      <c r="J176" s="105" t="s">
        <v>8</v>
      </c>
      <c r="K176" s="105" t="s">
        <v>9</v>
      </c>
      <c r="L176" s="105" t="s">
        <v>10</v>
      </c>
      <c r="M176" s="105" t="s">
        <v>11</v>
      </c>
      <c r="N176" s="105" t="s">
        <v>12</v>
      </c>
      <c r="O176" s="105" t="s">
        <v>13</v>
      </c>
      <c r="P176" s="105" t="s">
        <v>14</v>
      </c>
      <c r="Q176" s="105" t="s">
        <v>15</v>
      </c>
      <c r="R176" s="105" t="s">
        <v>16</v>
      </c>
      <c r="S176" s="105" t="s">
        <v>17</v>
      </c>
      <c r="T176" s="105" t="s">
        <v>18</v>
      </c>
      <c r="U176" s="105">
        <v>2017</v>
      </c>
      <c r="V176" s="105">
        <v>2018</v>
      </c>
      <c r="AB176" s="749">
        <v>2019</v>
      </c>
      <c r="AC176" s="749">
        <v>2020</v>
      </c>
      <c r="AD176" s="749">
        <v>2021</v>
      </c>
      <c r="AE176" s="749">
        <v>2022</v>
      </c>
      <c r="AF176" s="749">
        <v>2023</v>
      </c>
      <c r="AG176" s="749">
        <v>2024</v>
      </c>
      <c r="AH176" s="749">
        <v>2025</v>
      </c>
      <c r="AI176" s="749">
        <v>2026</v>
      </c>
      <c r="AJ176" s="749">
        <v>2027</v>
      </c>
      <c r="AK176" s="749">
        <v>2028</v>
      </c>
      <c r="AL176" s="749">
        <v>2029</v>
      </c>
      <c r="AM176" s="749">
        <v>2030</v>
      </c>
      <c r="AN176" s="749">
        <v>2031</v>
      </c>
      <c r="AO176" s="749">
        <v>2032</v>
      </c>
      <c r="AP176" s="749">
        <v>2033</v>
      </c>
      <c r="AQ176" s="749">
        <v>2034</v>
      </c>
      <c r="AR176" s="749">
        <v>2035</v>
      </c>
    </row>
    <row r="177" spans="1:97" s="91" customFormat="1" x14ac:dyDescent="0.3">
      <c r="A177" s="31" t="s">
        <v>163</v>
      </c>
      <c r="B177" s="577">
        <v>100111</v>
      </c>
      <c r="C177" s="577">
        <v>102352</v>
      </c>
      <c r="D177" s="577">
        <v>112834</v>
      </c>
      <c r="E177" s="577">
        <v>113941</v>
      </c>
      <c r="F177" s="577">
        <v>114766</v>
      </c>
      <c r="G177" s="577">
        <v>111623</v>
      </c>
      <c r="H177" s="577">
        <v>112324</v>
      </c>
      <c r="I177" s="577">
        <v>121920</v>
      </c>
      <c r="J177" s="577">
        <v>153387</v>
      </c>
      <c r="K177" s="577">
        <v>128176</v>
      </c>
      <c r="L177" s="577">
        <v>142404</v>
      </c>
      <c r="M177" s="577">
        <v>125664</v>
      </c>
      <c r="N177" s="577">
        <v>144508</v>
      </c>
      <c r="O177" s="577">
        <v>162883</v>
      </c>
      <c r="P177" s="577">
        <v>152501</v>
      </c>
      <c r="Q177" s="577">
        <v>151223</v>
      </c>
      <c r="R177" s="577">
        <v>146872</v>
      </c>
      <c r="S177" s="577">
        <v>133664</v>
      </c>
      <c r="T177" s="577">
        <v>142705</v>
      </c>
      <c r="U177" s="577">
        <v>164081</v>
      </c>
      <c r="V177" s="580">
        <v>172211</v>
      </c>
      <c r="W177" s="92" t="s">
        <v>265</v>
      </c>
      <c r="X177" s="91" t="s">
        <v>871</v>
      </c>
      <c r="Z177" s="465"/>
      <c r="AA177" s="91" t="s">
        <v>43</v>
      </c>
      <c r="AB177" s="91">
        <f>V177+(AB180*V177)</f>
        <v>172744.89058782856</v>
      </c>
      <c r="AC177" s="465">
        <f t="shared" ref="AC177:AP177" si="10">(AB177*AC180)+AB177</f>
        <v>173280.43634959936</v>
      </c>
      <c r="AD177" s="465">
        <f t="shared" si="10"/>
        <v>173817.64241670235</v>
      </c>
      <c r="AE177" s="465">
        <f t="shared" si="10"/>
        <v>174356.51393643586</v>
      </c>
      <c r="AF177" s="465">
        <f t="shared" si="10"/>
        <v>174897.05607205589</v>
      </c>
      <c r="AG177" s="465">
        <f t="shared" si="10"/>
        <v>175439.27400282564</v>
      </c>
      <c r="AH177" s="465">
        <f t="shared" si="10"/>
        <v>175983.17292406518</v>
      </c>
      <c r="AI177" s="465">
        <f t="shared" si="10"/>
        <v>176528.75804720112</v>
      </c>
      <c r="AJ177" s="465">
        <f t="shared" si="10"/>
        <v>177076.0345998166</v>
      </c>
      <c r="AK177" s="465">
        <f t="shared" si="10"/>
        <v>177625.00782570138</v>
      </c>
      <c r="AL177" s="465">
        <f t="shared" si="10"/>
        <v>178175.68298490209</v>
      </c>
      <c r="AM177" s="465">
        <f t="shared" si="10"/>
        <v>178728.0653537726</v>
      </c>
      <c r="AN177" s="465">
        <f t="shared" si="10"/>
        <v>179282.16022502465</v>
      </c>
      <c r="AO177" s="465">
        <f t="shared" si="10"/>
        <v>179837.97290777843</v>
      </c>
      <c r="AP177" s="465">
        <f t="shared" si="10"/>
        <v>180395.50872761357</v>
      </c>
      <c r="AQ177" s="465">
        <f>(AP177*AQ180)+AP177</f>
        <v>180954.77302662013</v>
      </c>
      <c r="AR177" s="465">
        <f>(AQ177*AR180)+AQ177</f>
        <v>181515.77116344974</v>
      </c>
    </row>
    <row r="178" spans="1:97" s="91" customFormat="1" x14ac:dyDescent="0.3">
      <c r="A178" s="31" t="s">
        <v>164</v>
      </c>
      <c r="B178" s="578">
        <v>105664</v>
      </c>
      <c r="C178" s="578">
        <v>110224</v>
      </c>
      <c r="D178" s="578">
        <v>118160</v>
      </c>
      <c r="E178" s="578">
        <v>127990</v>
      </c>
      <c r="F178" s="578">
        <v>139032</v>
      </c>
      <c r="G178" s="578">
        <v>139398</v>
      </c>
      <c r="H178" s="578">
        <v>144057</v>
      </c>
      <c r="I178" s="578">
        <v>159483</v>
      </c>
      <c r="J178" s="578">
        <v>185615</v>
      </c>
      <c r="K178" s="578">
        <v>170688</v>
      </c>
      <c r="L178" s="578">
        <v>182793</v>
      </c>
      <c r="M178" s="578">
        <v>165228</v>
      </c>
      <c r="N178" s="578">
        <v>188082</v>
      </c>
      <c r="O178" s="578">
        <v>203785</v>
      </c>
      <c r="P178" s="578">
        <v>208818</v>
      </c>
      <c r="Q178" s="578">
        <v>218754</v>
      </c>
      <c r="R178" s="578">
        <v>224203</v>
      </c>
      <c r="S178" s="578">
        <v>220522</v>
      </c>
      <c r="T178" s="578">
        <v>237067</v>
      </c>
      <c r="U178" s="578">
        <v>258807</v>
      </c>
      <c r="V178" s="580">
        <v>265663</v>
      </c>
      <c r="W178" s="92" t="s">
        <v>265</v>
      </c>
      <c r="X178" s="376" t="s">
        <v>871</v>
      </c>
      <c r="Z178" s="465"/>
      <c r="AA178" s="91" t="s">
        <v>44</v>
      </c>
      <c r="AB178" s="465">
        <f>V178+(AB181*V178)</f>
        <v>273634.4420794964</v>
      </c>
      <c r="AC178" s="465">
        <f t="shared" ref="AC178:AP178" si="11">(AB178*AC181)+AB178</f>
        <v>281845.07399283029</v>
      </c>
      <c r="AD178" s="465">
        <f t="shared" si="11"/>
        <v>290302.07283243246</v>
      </c>
      <c r="AE178" s="465">
        <f t="shared" si="11"/>
        <v>299012.8310454372</v>
      </c>
      <c r="AF178" s="465">
        <f t="shared" si="11"/>
        <v>307984.96289558173</v>
      </c>
      <c r="AG178" s="465">
        <f t="shared" si="11"/>
        <v>317226.31111900008</v>
      </c>
      <c r="AH178" s="465">
        <f t="shared" si="11"/>
        <v>326744.95377972972</v>
      </c>
      <c r="AI178" s="465">
        <f t="shared" si="11"/>
        <v>336549.21133092372</v>
      </c>
      <c r="AJ178" s="465">
        <f t="shared" si="11"/>
        <v>346647.65388794016</v>
      </c>
      <c r="AK178" s="465">
        <f t="shared" si="11"/>
        <v>357049.10871966695</v>
      </c>
      <c r="AL178" s="465">
        <f t="shared" si="11"/>
        <v>367762.66796463006</v>
      </c>
      <c r="AM178" s="465">
        <f t="shared" si="11"/>
        <v>378797.69657863019</v>
      </c>
      <c r="AN178" s="465">
        <f t="shared" si="11"/>
        <v>390163.84052085475</v>
      </c>
      <c r="AO178" s="465">
        <f t="shared" si="11"/>
        <v>401871.03518562129</v>
      </c>
      <c r="AP178" s="465">
        <f t="shared" si="11"/>
        <v>413929.51408712222</v>
      </c>
      <c r="AQ178" s="465">
        <f>(AP178*AQ181)+AP178</f>
        <v>426349.81780476298</v>
      </c>
      <c r="AR178" s="465">
        <f>(AQ178*AR181)+AQ178</f>
        <v>439142.80319691211</v>
      </c>
    </row>
    <row r="179" spans="1:97" s="39" customFormat="1" ht="13.2" customHeight="1" x14ac:dyDescent="0.3">
      <c r="A179" s="37" t="s">
        <v>34</v>
      </c>
      <c r="B179" s="98">
        <f>B177-B178</f>
        <v>-5553</v>
      </c>
      <c r="C179" s="98">
        <f t="shared" ref="C179:V179" si="12">C177-C178</f>
        <v>-7872</v>
      </c>
      <c r="D179" s="98">
        <f t="shared" si="12"/>
        <v>-5326</v>
      </c>
      <c r="E179" s="98">
        <f t="shared" si="12"/>
        <v>-14049</v>
      </c>
      <c r="F179" s="98">
        <f t="shared" si="12"/>
        <v>-24266</v>
      </c>
      <c r="G179" s="98">
        <f t="shared" si="12"/>
        <v>-27775</v>
      </c>
      <c r="H179" s="98">
        <f t="shared" si="12"/>
        <v>-31733</v>
      </c>
      <c r="I179" s="98">
        <f t="shared" si="12"/>
        <v>-37563</v>
      </c>
      <c r="J179" s="98">
        <f t="shared" si="12"/>
        <v>-32228</v>
      </c>
      <c r="K179" s="98">
        <f t="shared" si="12"/>
        <v>-42512</v>
      </c>
      <c r="L179" s="98">
        <f t="shared" si="12"/>
        <v>-40389</v>
      </c>
      <c r="M179" s="98">
        <f t="shared" si="12"/>
        <v>-39564</v>
      </c>
      <c r="N179" s="98">
        <f t="shared" si="12"/>
        <v>-43574</v>
      </c>
      <c r="O179" s="98">
        <f t="shared" si="12"/>
        <v>-40902</v>
      </c>
      <c r="P179" s="98">
        <f t="shared" si="12"/>
        <v>-56317</v>
      </c>
      <c r="Q179" s="98">
        <f t="shared" si="12"/>
        <v>-67531</v>
      </c>
      <c r="R179" s="98">
        <f t="shared" si="12"/>
        <v>-77331</v>
      </c>
      <c r="S179" s="98">
        <f t="shared" si="12"/>
        <v>-86858</v>
      </c>
      <c r="T179" s="98">
        <f t="shared" si="12"/>
        <v>-94362</v>
      </c>
      <c r="U179" s="373">
        <f>U177-U178</f>
        <v>-94726</v>
      </c>
      <c r="V179" s="373">
        <f t="shared" si="12"/>
        <v>-93452</v>
      </c>
      <c r="W179" s="37"/>
      <c r="X179" s="37"/>
      <c r="Y179" s="37"/>
      <c r="Z179" s="37"/>
      <c r="AA179" s="37" t="s">
        <v>877</v>
      </c>
      <c r="AB179" s="747">
        <f>(AB177-AB178)/1000</f>
        <v>-100.88955149166783</v>
      </c>
      <c r="AC179" s="747">
        <f t="shared" ref="AC179:AP179" si="13">(AC177-AC178)/1000</f>
        <v>-108.56463764323094</v>
      </c>
      <c r="AD179" s="747">
        <f t="shared" si="13"/>
        <v>-116.4844304157301</v>
      </c>
      <c r="AE179" s="747">
        <f t="shared" si="13"/>
        <v>-124.65631710900134</v>
      </c>
      <c r="AF179" s="747">
        <f t="shared" si="13"/>
        <v>-133.08790682352586</v>
      </c>
      <c r="AG179" s="747">
        <f t="shared" si="13"/>
        <v>-141.78703711617445</v>
      </c>
      <c r="AH179" s="747">
        <f t="shared" si="13"/>
        <v>-150.76178085566454</v>
      </c>
      <c r="AI179" s="747">
        <f t="shared" si="13"/>
        <v>-160.02045328372259</v>
      </c>
      <c r="AJ179" s="747">
        <f t="shared" si="13"/>
        <v>-169.57161928812357</v>
      </c>
      <c r="AK179" s="747">
        <f t="shared" si="13"/>
        <v>-179.42410089396557</v>
      </c>
      <c r="AL179" s="747">
        <f t="shared" si="13"/>
        <v>-189.58698497972799</v>
      </c>
      <c r="AM179" s="747">
        <f t="shared" si="13"/>
        <v>-200.06963122485757</v>
      </c>
      <c r="AN179" s="747">
        <f t="shared" si="13"/>
        <v>-210.88168029583011</v>
      </c>
      <c r="AO179" s="747">
        <f t="shared" si="13"/>
        <v>-222.03306227784287</v>
      </c>
      <c r="AP179" s="747">
        <f t="shared" si="13"/>
        <v>-233.53400535950865</v>
      </c>
      <c r="AQ179" s="747">
        <f>(AQ177-AQ178)/1000</f>
        <v>-245.39504477814285</v>
      </c>
      <c r="AR179" s="747">
        <f>(AR177-AR178)/1000</f>
        <v>-257.62703203346234</v>
      </c>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row>
    <row r="180" spans="1:97" s="2" customFormat="1" ht="13.2" customHeight="1" x14ac:dyDescent="0.3">
      <c r="A180" s="4"/>
      <c r="B180" s="100"/>
      <c r="C180" s="100"/>
      <c r="D180" s="100"/>
      <c r="E180" s="100"/>
      <c r="F180" s="100"/>
      <c r="G180" s="100"/>
      <c r="H180" s="100"/>
      <c r="I180" s="100"/>
      <c r="J180" s="100"/>
      <c r="K180" s="100"/>
      <c r="L180" s="100"/>
      <c r="M180" s="100"/>
      <c r="N180" s="100"/>
      <c r="O180" s="100"/>
      <c r="P180" s="100"/>
      <c r="Q180" s="100"/>
      <c r="R180" s="100"/>
      <c r="S180" s="100"/>
      <c r="T180" s="100"/>
      <c r="U180" s="597">
        <f>U177+U178</f>
        <v>422888</v>
      </c>
      <c r="V180" s="597"/>
      <c r="W180" s="4"/>
      <c r="X180" s="4"/>
      <c r="Y180" s="4"/>
      <c r="Z180" s="4"/>
      <c r="AA180" s="4"/>
      <c r="AB180" s="745">
        <f>B75</f>
        <v>3.1002118786171984E-3</v>
      </c>
      <c r="AC180" s="745">
        <f>B75</f>
        <v>3.1002118786171984E-3</v>
      </c>
      <c r="AD180" s="745">
        <f>B75</f>
        <v>3.1002118786171984E-3</v>
      </c>
      <c r="AE180" s="745">
        <f>AB180</f>
        <v>3.1002118786171984E-3</v>
      </c>
      <c r="AF180" s="745">
        <f>AE180</f>
        <v>3.1002118786171984E-3</v>
      </c>
      <c r="AG180" s="745">
        <f>AF180</f>
        <v>3.1002118786171984E-3</v>
      </c>
      <c r="AH180" s="745">
        <f>AE180</f>
        <v>3.1002118786171984E-3</v>
      </c>
      <c r="AI180" s="745">
        <f>AH180</f>
        <v>3.1002118786171984E-3</v>
      </c>
      <c r="AJ180" s="745">
        <f>AI180</f>
        <v>3.1002118786171984E-3</v>
      </c>
      <c r="AK180" s="745">
        <f>AH180</f>
        <v>3.1002118786171984E-3</v>
      </c>
      <c r="AL180" s="745">
        <f>AK180</f>
        <v>3.1002118786171984E-3</v>
      </c>
      <c r="AM180" s="745">
        <f>AL180</f>
        <v>3.1002118786171984E-3</v>
      </c>
      <c r="AN180" s="745">
        <f>AK180</f>
        <v>3.1002118786171984E-3</v>
      </c>
      <c r="AO180" s="745">
        <f>AL180</f>
        <v>3.1002118786171984E-3</v>
      </c>
      <c r="AP180" s="745">
        <f>AO180</f>
        <v>3.1002118786171984E-3</v>
      </c>
      <c r="AQ180" s="745">
        <f>AP180</f>
        <v>3.1002118786171984E-3</v>
      </c>
      <c r="AR180" s="745">
        <f>AO180</f>
        <v>3.1002118786171984E-3</v>
      </c>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row>
    <row r="181" spans="1:97" s="4" customFormat="1" ht="12" customHeight="1" x14ac:dyDescent="0.3">
      <c r="B181" s="21"/>
      <c r="C181" s="21"/>
      <c r="D181" s="21"/>
      <c r="E181" s="21"/>
      <c r="F181" s="21"/>
      <c r="G181" s="21"/>
      <c r="H181" s="21"/>
      <c r="I181" s="21"/>
      <c r="J181" s="21"/>
      <c r="K181" s="21"/>
      <c r="L181" s="21"/>
      <c r="M181" s="21"/>
      <c r="N181" s="21"/>
      <c r="O181" s="21"/>
      <c r="P181" s="21"/>
      <c r="Q181" s="21"/>
      <c r="R181" s="21"/>
      <c r="S181" s="21"/>
      <c r="T181" s="21"/>
      <c r="AB181" s="746">
        <f>B76</f>
        <v>3.0005842287019302E-2</v>
      </c>
      <c r="AC181" s="746">
        <f>AB181</f>
        <v>3.0005842287019302E-2</v>
      </c>
      <c r="AD181" s="746">
        <f>AC181</f>
        <v>3.0005842287019302E-2</v>
      </c>
      <c r="AE181" s="746">
        <f>AD181</f>
        <v>3.0005842287019302E-2</v>
      </c>
      <c r="AF181" s="746">
        <f>AE181</f>
        <v>3.0005842287019302E-2</v>
      </c>
      <c r="AG181" s="746">
        <f>AF181</f>
        <v>3.0005842287019302E-2</v>
      </c>
      <c r="AH181" s="746">
        <f>AG181</f>
        <v>3.0005842287019302E-2</v>
      </c>
      <c r="AI181" s="746">
        <f>AH181</f>
        <v>3.0005842287019302E-2</v>
      </c>
      <c r="AJ181" s="746">
        <f>AI181</f>
        <v>3.0005842287019302E-2</v>
      </c>
      <c r="AK181" s="746">
        <f>AJ181</f>
        <v>3.0005842287019302E-2</v>
      </c>
      <c r="AL181" s="746">
        <f>AK181</f>
        <v>3.0005842287019302E-2</v>
      </c>
      <c r="AM181" s="746">
        <f>AL181</f>
        <v>3.0005842287019302E-2</v>
      </c>
      <c r="AN181" s="746">
        <f>AM181</f>
        <v>3.0005842287019302E-2</v>
      </c>
      <c r="AO181" s="746">
        <f>AN181</f>
        <v>3.0005842287019302E-2</v>
      </c>
      <c r="AP181" s="746">
        <f>AO181</f>
        <v>3.0005842287019302E-2</v>
      </c>
      <c r="AQ181" s="746">
        <f>AP181</f>
        <v>3.0005842287019302E-2</v>
      </c>
      <c r="AR181" s="746">
        <f>AQ181</f>
        <v>3.0005842287019302E-2</v>
      </c>
    </row>
    <row r="182" spans="1:97" s="4" customFormat="1" ht="12" customHeight="1" x14ac:dyDescent="0.3">
      <c r="B182" s="21"/>
      <c r="C182" s="21"/>
      <c r="D182" s="21"/>
      <c r="E182" s="21"/>
      <c r="F182" s="21"/>
      <c r="G182" s="21"/>
      <c r="H182" s="21"/>
      <c r="I182" s="21"/>
      <c r="J182" s="21"/>
      <c r="K182" s="21"/>
      <c r="L182" s="21"/>
      <c r="M182" s="21"/>
      <c r="N182" s="21"/>
      <c r="O182" s="21"/>
      <c r="P182" s="21"/>
      <c r="Q182" s="21"/>
      <c r="R182" s="21"/>
      <c r="S182" s="21"/>
      <c r="T182" s="21"/>
      <c r="AB182" s="746"/>
    </row>
    <row r="183" spans="1:97" s="108" customFormat="1" x14ac:dyDescent="0.3">
      <c r="A183" s="104" t="s">
        <v>183</v>
      </c>
      <c r="B183" s="105" t="s">
        <v>0</v>
      </c>
      <c r="C183" s="105" t="s">
        <v>1</v>
      </c>
      <c r="D183" s="105" t="s">
        <v>2</v>
      </c>
      <c r="E183" s="105" t="s">
        <v>3</v>
      </c>
      <c r="F183" s="105" t="s">
        <v>4</v>
      </c>
      <c r="G183" s="105" t="s">
        <v>5</v>
      </c>
      <c r="H183" s="105" t="s">
        <v>6</v>
      </c>
      <c r="I183" s="105" t="s">
        <v>7</v>
      </c>
      <c r="J183" s="105" t="s">
        <v>8</v>
      </c>
      <c r="K183" s="105" t="s">
        <v>9</v>
      </c>
      <c r="L183" s="105" t="s">
        <v>10</v>
      </c>
      <c r="M183" s="105" t="s">
        <v>11</v>
      </c>
      <c r="N183" s="105" t="s">
        <v>12</v>
      </c>
      <c r="O183" s="105" t="s">
        <v>13</v>
      </c>
      <c r="P183" s="105" t="s">
        <v>14</v>
      </c>
      <c r="Q183" s="105" t="s">
        <v>15</v>
      </c>
      <c r="R183" s="105" t="s">
        <v>16</v>
      </c>
      <c r="S183" s="105" t="s">
        <v>17</v>
      </c>
      <c r="T183" s="105" t="s">
        <v>18</v>
      </c>
      <c r="U183" s="105">
        <v>2017</v>
      </c>
      <c r="V183" s="107">
        <v>2018</v>
      </c>
      <c r="W183" s="107"/>
      <c r="X183" s="107"/>
      <c r="Y183" s="107"/>
      <c r="Z183" s="107"/>
      <c r="AA183" s="107"/>
      <c r="AB183" s="749">
        <v>2019</v>
      </c>
      <c r="AC183" s="749">
        <v>2020</v>
      </c>
      <c r="AD183" s="749">
        <v>2021</v>
      </c>
      <c r="AE183" s="749">
        <v>2022</v>
      </c>
      <c r="AF183" s="749">
        <v>2023</v>
      </c>
      <c r="AG183" s="749">
        <v>2024</v>
      </c>
      <c r="AH183" s="749">
        <v>2025</v>
      </c>
      <c r="AI183" s="749">
        <v>2026</v>
      </c>
      <c r="AJ183" s="749">
        <v>2027</v>
      </c>
      <c r="AK183" s="749">
        <v>2028</v>
      </c>
      <c r="AL183" s="749">
        <v>2029</v>
      </c>
      <c r="AM183" s="749">
        <v>2030</v>
      </c>
      <c r="AN183" s="749">
        <v>2031</v>
      </c>
      <c r="AO183" s="749">
        <v>2032</v>
      </c>
      <c r="AP183" s="749">
        <v>2033</v>
      </c>
      <c r="AQ183" s="749">
        <v>2034</v>
      </c>
      <c r="AR183" s="749">
        <v>2035</v>
      </c>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07"/>
      <c r="BR183" s="107"/>
      <c r="BS183" s="107"/>
      <c r="BT183" s="107"/>
      <c r="BU183" s="107"/>
      <c r="BV183" s="107"/>
      <c r="BW183" s="107"/>
      <c r="BX183" s="107"/>
      <c r="BY183" s="107"/>
      <c r="BZ183" s="107"/>
      <c r="CA183" s="107"/>
      <c r="CB183" s="107"/>
      <c r="CC183" s="107"/>
      <c r="CD183" s="107"/>
      <c r="CE183" s="107"/>
      <c r="CF183" s="107"/>
      <c r="CG183" s="107"/>
      <c r="CH183" s="107"/>
      <c r="CI183" s="107"/>
      <c r="CJ183" s="107"/>
      <c r="CK183" s="107"/>
      <c r="CL183" s="107"/>
      <c r="CM183" s="107"/>
      <c r="CN183" s="107"/>
      <c r="CO183" s="107"/>
      <c r="CP183" s="107"/>
      <c r="CQ183" s="107"/>
      <c r="CR183" s="107"/>
      <c r="CS183" s="107"/>
    </row>
    <row r="184" spans="1:97" s="91" customFormat="1" x14ac:dyDescent="0.3">
      <c r="A184" s="31" t="s">
        <v>167</v>
      </c>
      <c r="B184" s="579">
        <v>65168</v>
      </c>
      <c r="C184" s="579">
        <v>65432</v>
      </c>
      <c r="D184" s="579">
        <v>76126</v>
      </c>
      <c r="E184" s="579">
        <v>75592</v>
      </c>
      <c r="F184" s="579">
        <v>72192</v>
      </c>
      <c r="G184" s="579">
        <v>77071</v>
      </c>
      <c r="H184" s="579">
        <v>79389</v>
      </c>
      <c r="I184" s="579">
        <v>90837</v>
      </c>
      <c r="J184" s="579">
        <v>91372</v>
      </c>
      <c r="K184" s="579">
        <v>94348</v>
      </c>
      <c r="L184" s="579">
        <v>109855</v>
      </c>
      <c r="M184" s="579">
        <v>101700</v>
      </c>
      <c r="N184" s="579">
        <v>122529</v>
      </c>
      <c r="O184" s="579">
        <v>140921</v>
      </c>
      <c r="P184" s="579">
        <v>146887</v>
      </c>
      <c r="Q184" s="579">
        <v>149167</v>
      </c>
      <c r="R184" s="579">
        <v>146244</v>
      </c>
      <c r="S184" s="579">
        <v>153088</v>
      </c>
      <c r="T184" s="579">
        <v>156368</v>
      </c>
      <c r="U184" s="579">
        <v>174658</v>
      </c>
      <c r="V184" s="580">
        <v>178440</v>
      </c>
      <c r="W184" s="92" t="s">
        <v>265</v>
      </c>
      <c r="X184" s="377">
        <v>43553</v>
      </c>
      <c r="Z184" s="465"/>
      <c r="AA184" s="91" t="s">
        <v>875</v>
      </c>
      <c r="AB184" s="748">
        <f>(V184*AB187)+V184</f>
        <v>184102.34542011109</v>
      </c>
      <c r="AC184" s="106">
        <f t="shared" ref="AC184:AR184" si="14">(AB184*AB187)+AB184</f>
        <v>189944.37115661229</v>
      </c>
      <c r="AD184" s="106">
        <f t="shared" si="14"/>
        <v>195971.77891325051</v>
      </c>
      <c r="AE184" s="106">
        <f t="shared" si="14"/>
        <v>202190.45132302673</v>
      </c>
      <c r="AF184" s="106">
        <f t="shared" si="14"/>
        <v>208606.45768953164</v>
      </c>
      <c r="AG184" s="106">
        <f t="shared" si="14"/>
        <v>215226.0599104682</v>
      </c>
      <c r="AH184" s="106">
        <f t="shared" si="14"/>
        <v>222055.71858914226</v>
      </c>
      <c r="AI184" s="106">
        <f t="shared" si="14"/>
        <v>229102.09933988596</v>
      </c>
      <c r="AJ184" s="106">
        <f t="shared" si="14"/>
        <v>236372.07929356809</v>
      </c>
      <c r="AK184" s="106">
        <f t="shared" si="14"/>
        <v>243872.75380954024</v>
      </c>
      <c r="AL184" s="106">
        <f t="shared" si="14"/>
        <v>251611.4434005699</v>
      </c>
      <c r="AM184" s="106">
        <f t="shared" si="14"/>
        <v>259595.7008775188</v>
      </c>
      <c r="AN184" s="106">
        <f t="shared" si="14"/>
        <v>267833.31872073974</v>
      </c>
      <c r="AO184" s="106">
        <f t="shared" si="14"/>
        <v>276332.33668538631</v>
      </c>
      <c r="AP184" s="106">
        <f t="shared" si="14"/>
        <v>285101.04964805779</v>
      </c>
      <c r="AQ184" s="106">
        <f t="shared" si="14"/>
        <v>294148.01570243767</v>
      </c>
      <c r="AR184" s="106">
        <f t="shared" si="14"/>
        <v>303482.06451182719</v>
      </c>
    </row>
    <row r="185" spans="1:97" s="91" customFormat="1" x14ac:dyDescent="0.3">
      <c r="A185" s="31" t="s">
        <v>168</v>
      </c>
      <c r="B185" s="580">
        <v>81014</v>
      </c>
      <c r="C185" s="580">
        <v>85968</v>
      </c>
      <c r="D185" s="580">
        <v>105151</v>
      </c>
      <c r="E185" s="580">
        <v>105078</v>
      </c>
      <c r="F185" s="580">
        <v>97508</v>
      </c>
      <c r="G185" s="580">
        <v>100218</v>
      </c>
      <c r="H185" s="580">
        <v>108684</v>
      </c>
      <c r="I185" s="580">
        <v>122806</v>
      </c>
      <c r="J185" s="580">
        <v>137041</v>
      </c>
      <c r="K185" s="580">
        <v>140420</v>
      </c>
      <c r="L185" s="580">
        <v>161130</v>
      </c>
      <c r="M185" s="580">
        <v>147441</v>
      </c>
      <c r="N185" s="580">
        <v>174569</v>
      </c>
      <c r="O185" s="580">
        <v>194382</v>
      </c>
      <c r="P185" s="580">
        <v>197290</v>
      </c>
      <c r="Q185" s="580">
        <v>200626</v>
      </c>
      <c r="R185" s="580">
        <v>190984</v>
      </c>
      <c r="S185" s="580">
        <v>184040</v>
      </c>
      <c r="T185" s="580">
        <v>194658</v>
      </c>
      <c r="U185" s="580">
        <v>216967</v>
      </c>
      <c r="V185" s="580">
        <v>223081</v>
      </c>
      <c r="W185" s="92" t="s">
        <v>265</v>
      </c>
      <c r="X185" s="91" t="s">
        <v>871</v>
      </c>
      <c r="Z185" s="465"/>
      <c r="AA185" s="91" t="s">
        <v>876</v>
      </c>
      <c r="AB185" s="748">
        <f>(V185*AB188)+V185</f>
        <v>229814.72884613893</v>
      </c>
      <c r="AC185" s="106">
        <f t="shared" ref="AC185:AR185" si="15">(AB185*AB188)+AB185</f>
        <v>236751.71616867578</v>
      </c>
      <c r="AD185" s="106">
        <f t="shared" si="15"/>
        <v>243898.0973510172</v>
      </c>
      <c r="AE185" s="106">
        <f t="shared" si="15"/>
        <v>251260.19297391179</v>
      </c>
      <c r="AF185" s="106">
        <f t="shared" si="15"/>
        <v>258844.5144056557</v>
      </c>
      <c r="AG185" s="106">
        <f t="shared" si="15"/>
        <v>266657.76956103957</v>
      </c>
      <c r="AH185" s="106">
        <f t="shared" si="15"/>
        <v>274706.86883412983</v>
      </c>
      <c r="AI185" s="106">
        <f t="shared" si="15"/>
        <v>282998.93121013173</v>
      </c>
      <c r="AJ185" s="106">
        <f t="shared" si="15"/>
        <v>291541.29056174011</v>
      </c>
      <c r="AK185" s="106">
        <f t="shared" si="15"/>
        <v>300341.50213554589</v>
      </c>
      <c r="AL185" s="106">
        <f t="shared" si="15"/>
        <v>309407.34923423571</v>
      </c>
      <c r="AM185" s="106">
        <f t="shared" si="15"/>
        <v>318746.85010049486</v>
      </c>
      <c r="AN185" s="106">
        <f t="shared" si="15"/>
        <v>328368.26500870142</v>
      </c>
      <c r="AO185" s="106">
        <f t="shared" si="15"/>
        <v>338280.10357068421</v>
      </c>
      <c r="AP185" s="106">
        <f t="shared" si="15"/>
        <v>348491.13226200611</v>
      </c>
      <c r="AQ185" s="106">
        <f t="shared" si="15"/>
        <v>359010.38217542903</v>
      </c>
      <c r="AR185" s="106">
        <f t="shared" si="15"/>
        <v>369847.15700841817</v>
      </c>
    </row>
    <row r="186" spans="1:97" s="2" customFormat="1" ht="12" customHeight="1" x14ac:dyDescent="0.3">
      <c r="A186" s="37" t="s">
        <v>34</v>
      </c>
      <c r="B186" s="98">
        <f t="shared" ref="B186:T186" si="16">B184-B185</f>
        <v>-15846</v>
      </c>
      <c r="C186" s="98">
        <f t="shared" si="16"/>
        <v>-20536</v>
      </c>
      <c r="D186" s="98">
        <f t="shared" si="16"/>
        <v>-29025</v>
      </c>
      <c r="E186" s="98">
        <f t="shared" si="16"/>
        <v>-29486</v>
      </c>
      <c r="F186" s="98">
        <f t="shared" si="16"/>
        <v>-25316</v>
      </c>
      <c r="G186" s="98">
        <f t="shared" si="16"/>
        <v>-23147</v>
      </c>
      <c r="H186" s="98">
        <f t="shared" si="16"/>
        <v>-29295</v>
      </c>
      <c r="I186" s="98">
        <f t="shared" si="16"/>
        <v>-31969</v>
      </c>
      <c r="J186" s="98">
        <f t="shared" si="16"/>
        <v>-45669</v>
      </c>
      <c r="K186" s="98">
        <f t="shared" si="16"/>
        <v>-46072</v>
      </c>
      <c r="L186" s="98">
        <f t="shared" si="16"/>
        <v>-51275</v>
      </c>
      <c r="M186" s="98">
        <f t="shared" si="16"/>
        <v>-45741</v>
      </c>
      <c r="N186" s="98">
        <f t="shared" si="16"/>
        <v>-52040</v>
      </c>
      <c r="O186" s="98">
        <f t="shared" si="16"/>
        <v>-53461</v>
      </c>
      <c r="P186" s="98">
        <f t="shared" si="16"/>
        <v>-50403</v>
      </c>
      <c r="Q186" s="98">
        <f t="shared" si="16"/>
        <v>-51459</v>
      </c>
      <c r="R186" s="98">
        <f t="shared" si="16"/>
        <v>-44740</v>
      </c>
      <c r="S186" s="98">
        <f t="shared" si="16"/>
        <v>-30952</v>
      </c>
      <c r="T186" s="98">
        <f t="shared" si="16"/>
        <v>-38290</v>
      </c>
      <c r="U186" s="98">
        <f>U184-U185</f>
        <v>-42309</v>
      </c>
      <c r="V186" s="4">
        <f>V184-V185</f>
        <v>-44641</v>
      </c>
      <c r="W186" s="4"/>
      <c r="X186" s="4"/>
      <c r="Y186" s="4"/>
      <c r="Z186" s="4"/>
      <c r="AA186" s="4" t="s">
        <v>877</v>
      </c>
      <c r="AB186" s="747">
        <f>(AB184-AB185)/1000</f>
        <v>-45.712383426027841</v>
      </c>
      <c r="AC186" s="747">
        <f t="shared" ref="AC186:AR186" si="17">(AC184-AC185)/1000</f>
        <v>-46.807345012063479</v>
      </c>
      <c r="AD186" s="747">
        <f t="shared" si="17"/>
        <v>-47.926318437766689</v>
      </c>
      <c r="AE186" s="747">
        <f t="shared" si="17"/>
        <v>-49.069741650885057</v>
      </c>
      <c r="AF186" s="747">
        <f t="shared" si="17"/>
        <v>-50.238056716124063</v>
      </c>
      <c r="AG186" s="747">
        <f t="shared" si="17"/>
        <v>-51.431709650571371</v>
      </c>
      <c r="AH186" s="747">
        <f t="shared" si="17"/>
        <v>-52.651150244987569</v>
      </c>
      <c r="AI186" s="747">
        <f t="shared" si="17"/>
        <v>-53.896831870245776</v>
      </c>
      <c r="AJ186" s="747">
        <f t="shared" si="17"/>
        <v>-55.16921126817202</v>
      </c>
      <c r="AK186" s="747">
        <f t="shared" si="17"/>
        <v>-56.468748326005645</v>
      </c>
      <c r="AL186" s="747">
        <f t="shared" si="17"/>
        <v>-57.795905833665806</v>
      </c>
      <c r="AM186" s="747">
        <f t="shared" si="17"/>
        <v>-59.151149222976059</v>
      </c>
      <c r="AN186" s="747">
        <f t="shared" si="17"/>
        <v>-60.534946287961674</v>
      </c>
      <c r="AO186" s="747">
        <f t="shared" si="17"/>
        <v>-61.947766885297895</v>
      </c>
      <c r="AP186" s="747">
        <f t="shared" si="17"/>
        <v>-63.390082613948323</v>
      </c>
      <c r="AQ186" s="747">
        <f t="shared" si="17"/>
        <v>-64.862366472991354</v>
      </c>
      <c r="AR186" s="747">
        <f t="shared" si="17"/>
        <v>-66.365092496590975</v>
      </c>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row>
    <row r="187" spans="1:97" s="91" customFormat="1" x14ac:dyDescent="0.3">
      <c r="C187" s="91" t="s">
        <v>530</v>
      </c>
      <c r="U187" s="598">
        <f>U184+U185</f>
        <v>391625</v>
      </c>
      <c r="AB187" s="10">
        <f>C75</f>
        <v>3.1732489464868285E-2</v>
      </c>
      <c r="AC187" s="10">
        <f t="shared" ref="AC187:AR187" si="18">AB187</f>
        <v>3.1732489464868285E-2</v>
      </c>
      <c r="AD187" s="10">
        <f t="shared" si="18"/>
        <v>3.1732489464868285E-2</v>
      </c>
      <c r="AE187" s="10">
        <f t="shared" si="18"/>
        <v>3.1732489464868285E-2</v>
      </c>
      <c r="AF187" s="10">
        <f t="shared" si="18"/>
        <v>3.1732489464868285E-2</v>
      </c>
      <c r="AG187" s="10">
        <f t="shared" si="18"/>
        <v>3.1732489464868285E-2</v>
      </c>
      <c r="AH187" s="10">
        <f t="shared" si="18"/>
        <v>3.1732489464868285E-2</v>
      </c>
      <c r="AI187" s="10">
        <f t="shared" si="18"/>
        <v>3.1732489464868285E-2</v>
      </c>
      <c r="AJ187" s="10">
        <f t="shared" si="18"/>
        <v>3.1732489464868285E-2</v>
      </c>
      <c r="AK187" s="10">
        <f t="shared" si="18"/>
        <v>3.1732489464868285E-2</v>
      </c>
      <c r="AL187" s="10">
        <f t="shared" si="18"/>
        <v>3.1732489464868285E-2</v>
      </c>
      <c r="AM187" s="10">
        <f t="shared" si="18"/>
        <v>3.1732489464868285E-2</v>
      </c>
      <c r="AN187" s="10">
        <f t="shared" si="18"/>
        <v>3.1732489464868285E-2</v>
      </c>
      <c r="AO187" s="10">
        <f t="shared" si="18"/>
        <v>3.1732489464868285E-2</v>
      </c>
      <c r="AP187" s="10">
        <f t="shared" si="18"/>
        <v>3.1732489464868285E-2</v>
      </c>
      <c r="AQ187" s="10">
        <f t="shared" si="18"/>
        <v>3.1732489464868285E-2</v>
      </c>
      <c r="AR187" s="10">
        <f t="shared" si="18"/>
        <v>3.1732489464868285E-2</v>
      </c>
    </row>
    <row r="188" spans="1:97" s="6" customFormat="1" x14ac:dyDescent="0.3">
      <c r="A188" s="6" t="s">
        <v>212</v>
      </c>
      <c r="W188" s="6" t="s">
        <v>646</v>
      </c>
      <c r="AB188" s="10">
        <f>C76</f>
        <v>3.018512937515494E-2</v>
      </c>
      <c r="AC188" s="10">
        <f t="shared" ref="AC188:AR188" si="19">AB188</f>
        <v>3.018512937515494E-2</v>
      </c>
      <c r="AD188" s="10">
        <f t="shared" si="19"/>
        <v>3.018512937515494E-2</v>
      </c>
      <c r="AE188" s="10">
        <f t="shared" si="19"/>
        <v>3.018512937515494E-2</v>
      </c>
      <c r="AF188" s="10">
        <f t="shared" si="19"/>
        <v>3.018512937515494E-2</v>
      </c>
      <c r="AG188" s="10">
        <f t="shared" si="19"/>
        <v>3.018512937515494E-2</v>
      </c>
      <c r="AH188" s="10">
        <f t="shared" si="19"/>
        <v>3.018512937515494E-2</v>
      </c>
      <c r="AI188" s="10">
        <f t="shared" si="19"/>
        <v>3.018512937515494E-2</v>
      </c>
      <c r="AJ188" s="10">
        <f t="shared" si="19"/>
        <v>3.018512937515494E-2</v>
      </c>
      <c r="AK188" s="10">
        <f t="shared" si="19"/>
        <v>3.018512937515494E-2</v>
      </c>
      <c r="AL188" s="10">
        <f t="shared" si="19"/>
        <v>3.018512937515494E-2</v>
      </c>
      <c r="AM188" s="10">
        <f t="shared" si="19"/>
        <v>3.018512937515494E-2</v>
      </c>
      <c r="AN188" s="10">
        <f t="shared" si="19"/>
        <v>3.018512937515494E-2</v>
      </c>
      <c r="AO188" s="10">
        <f t="shared" si="19"/>
        <v>3.018512937515494E-2</v>
      </c>
      <c r="AP188" s="10">
        <f t="shared" si="19"/>
        <v>3.018512937515494E-2</v>
      </c>
      <c r="AQ188" s="10">
        <f t="shared" si="19"/>
        <v>3.018512937515494E-2</v>
      </c>
      <c r="AR188" s="10">
        <f t="shared" si="19"/>
        <v>3.018512937515494E-2</v>
      </c>
    </row>
    <row r="189" spans="1:97" s="91" customFormat="1" x14ac:dyDescent="0.3">
      <c r="A189" s="123" t="s">
        <v>213</v>
      </c>
      <c r="B189" s="124" t="s">
        <v>270</v>
      </c>
      <c r="C189" s="124" t="s">
        <v>271</v>
      </c>
      <c r="H189" s="91">
        <v>50</v>
      </c>
      <c r="I189" s="91">
        <v>4.2</v>
      </c>
      <c r="R189" s="572" t="s">
        <v>644</v>
      </c>
      <c r="S189" s="570">
        <f>S177/(S184+S177)</f>
        <v>0.46613101216382102</v>
      </c>
      <c r="T189" s="566">
        <f>T177/(T184+T177)</f>
        <v>0.47715775078325356</v>
      </c>
      <c r="U189" s="567">
        <f>U177/(U184+U177)</f>
        <v>0.48438768491375367</v>
      </c>
      <c r="V189" s="566">
        <f>V177/(V184+V177)</f>
        <v>0.4911179491859427</v>
      </c>
      <c r="W189" s="573">
        <f>(S189+T189+U189)/3</f>
        <v>0.47589214928694273</v>
      </c>
      <c r="AB189" s="4"/>
      <c r="AC189" s="4"/>
      <c r="AD189" s="4"/>
      <c r="AE189" s="4"/>
      <c r="AF189" s="4"/>
      <c r="AG189" s="4"/>
      <c r="AH189" s="4"/>
      <c r="AI189" s="4"/>
      <c r="AJ189" s="4"/>
      <c r="AK189" s="4"/>
      <c r="AL189" s="4"/>
      <c r="AM189" s="4"/>
      <c r="AN189" s="4"/>
      <c r="AO189" s="4"/>
      <c r="AP189" s="4"/>
      <c r="AQ189" s="4"/>
      <c r="AR189" s="4"/>
    </row>
    <row r="190" spans="1:97" s="91" customFormat="1" x14ac:dyDescent="0.3">
      <c r="A190" s="132" t="s">
        <v>718</v>
      </c>
      <c r="B190" s="170">
        <v>0.39</v>
      </c>
      <c r="C190" s="170">
        <f>B190*4</f>
        <v>1.56</v>
      </c>
      <c r="D190" s="92" t="s">
        <v>179</v>
      </c>
      <c r="E190" s="91" t="s">
        <v>214</v>
      </c>
      <c r="H190" s="91">
        <f>H189/I189</f>
        <v>11.904761904761905</v>
      </c>
      <c r="R190" s="296" t="s">
        <v>645</v>
      </c>
      <c r="S190" s="571">
        <f>1-S189</f>
        <v>0.53386898783617898</v>
      </c>
      <c r="T190" s="568">
        <f>1-T189</f>
        <v>0.52284224921674638</v>
      </c>
      <c r="U190" s="569">
        <f>1-U189</f>
        <v>0.51561231508624639</v>
      </c>
      <c r="V190" s="568">
        <f>1-V189</f>
        <v>0.50888205081405724</v>
      </c>
      <c r="W190" s="574">
        <f>(S190+T190+U190)/3</f>
        <v>0.52410785071305721</v>
      </c>
      <c r="AB190" s="465">
        <f t="shared" ref="AB190:AL190" si="20">AB177+AB184</f>
        <v>356847.23600793967</v>
      </c>
      <c r="AC190" s="465">
        <f t="shared" si="20"/>
        <v>363224.80750621168</v>
      </c>
      <c r="AD190" s="465">
        <f t="shared" si="20"/>
        <v>369789.42132995289</v>
      </c>
      <c r="AE190" s="465">
        <f t="shared" si="20"/>
        <v>376546.96525946259</v>
      </c>
      <c r="AF190" s="465">
        <f t="shared" si="20"/>
        <v>383503.51376158756</v>
      </c>
      <c r="AG190" s="465">
        <f t="shared" si="20"/>
        <v>390665.33391329384</v>
      </c>
      <c r="AH190" s="465">
        <f t="shared" si="20"/>
        <v>398038.89151320746</v>
      </c>
      <c r="AI190" s="465">
        <f t="shared" si="20"/>
        <v>405630.85738708708</v>
      </c>
      <c r="AJ190" s="465">
        <f t="shared" si="20"/>
        <v>413448.1138933847</v>
      </c>
      <c r="AK190" s="465">
        <f t="shared" si="20"/>
        <v>421497.76163524162</v>
      </c>
      <c r="AL190" s="465">
        <f t="shared" si="20"/>
        <v>429787.12638547202</v>
      </c>
      <c r="AM190" s="91">
        <f t="shared" ref="AM190:AR190" si="21">AM177+AM184</f>
        <v>438323.7662312914</v>
      </c>
      <c r="AN190" s="465">
        <f t="shared" si="21"/>
        <v>447115.47894576436</v>
      </c>
      <c r="AO190" s="465">
        <f t="shared" si="21"/>
        <v>456170.30959316471</v>
      </c>
      <c r="AP190" s="465">
        <f t="shared" si="21"/>
        <v>465496.55837567139</v>
      </c>
      <c r="AQ190" s="465">
        <f t="shared" si="21"/>
        <v>475102.78872905776</v>
      </c>
      <c r="AR190" s="465">
        <f t="shared" si="21"/>
        <v>484997.83567527693</v>
      </c>
    </row>
    <row r="191" spans="1:97" s="91" customFormat="1" x14ac:dyDescent="0.3">
      <c r="A191" s="132" t="s">
        <v>273</v>
      </c>
      <c r="B191" s="170" t="s">
        <v>272</v>
      </c>
      <c r="C191" s="170">
        <v>2.4500000000000002</v>
      </c>
      <c r="D191" s="92" t="s">
        <v>179</v>
      </c>
      <c r="E191" s="91" t="s">
        <v>214</v>
      </c>
      <c r="AA191" s="91" t="s">
        <v>873</v>
      </c>
      <c r="AB191" s="602">
        <f t="shared" ref="AB191:AR191" si="22">AB177/AB190</f>
        <v>0.48408639091710681</v>
      </c>
      <c r="AC191" s="602">
        <f t="shared" si="22"/>
        <v>0.4770611278984187</v>
      </c>
      <c r="AD191" s="602">
        <f t="shared" si="22"/>
        <v>0.47004492933184711</v>
      </c>
      <c r="AE191" s="602">
        <f t="shared" si="22"/>
        <v>0.46304055011117712</v>
      </c>
      <c r="AF191" s="602">
        <f t="shared" si="22"/>
        <v>0.4560507265150745</v>
      </c>
      <c r="AG191" s="602">
        <f t="shared" si="22"/>
        <v>0.44907817196230543</v>
      </c>
      <c r="AH191" s="602">
        <f t="shared" si="22"/>
        <v>0.44212557284298892</v>
      </c>
      <c r="AI191" s="602">
        <f t="shared" si="22"/>
        <v>0.43519558443933304</v>
      </c>
      <c r="AJ191" s="602">
        <f t="shared" si="22"/>
        <v>0.42829082694879328</v>
      </c>
      <c r="AK191" s="602">
        <f t="shared" si="22"/>
        <v>0.42141388162202298</v>
      </c>
      <c r="AL191" s="602">
        <f t="shared" si="22"/>
        <v>0.41456728702734108</v>
      </c>
      <c r="AM191" s="602">
        <f t="shared" si="22"/>
        <v>0.40775353545274728</v>
      </c>
      <c r="AN191" s="602">
        <f t="shared" si="22"/>
        <v>0.40097506945576311</v>
      </c>
      <c r="AO191" s="602">
        <f t="shared" si="22"/>
        <v>0.39423427857057786</v>
      </c>
      <c r="AP191" s="602">
        <f t="shared" si="22"/>
        <v>0.38753349618114324</v>
      </c>
      <c r="AQ191" s="602">
        <f t="shared" si="22"/>
        <v>0.38087499656798529</v>
      </c>
      <c r="AR191" s="602">
        <f t="shared" si="22"/>
        <v>0.37426099213560393</v>
      </c>
    </row>
    <row r="192" spans="1:97" s="91" customFormat="1" x14ac:dyDescent="0.3">
      <c r="S192" s="91">
        <f>S177+S184</f>
        <v>286752</v>
      </c>
    </row>
    <row r="193" spans="1:44" x14ac:dyDescent="0.3">
      <c r="AB193" s="91"/>
      <c r="AC193" s="91"/>
      <c r="AD193" s="91"/>
      <c r="AE193" s="91"/>
      <c r="AF193" s="91"/>
      <c r="AG193" s="91"/>
      <c r="AH193" s="91"/>
      <c r="AI193" s="91"/>
      <c r="AJ193" s="91"/>
      <c r="AK193" s="91"/>
      <c r="AL193" s="91"/>
      <c r="AM193" s="91"/>
      <c r="AN193" s="91"/>
      <c r="AO193" s="91"/>
      <c r="AP193" s="91"/>
      <c r="AQ193" s="91"/>
      <c r="AR193" s="91"/>
    </row>
    <row r="194" spans="1:44" s="465" customFormat="1" ht="24.6" customHeight="1" x14ac:dyDescent="0.35">
      <c r="A194" s="201" t="s">
        <v>640</v>
      </c>
      <c r="AB194" s="91"/>
      <c r="AC194" s="91"/>
      <c r="AD194" s="91"/>
      <c r="AE194" s="91"/>
      <c r="AF194" s="91"/>
      <c r="AG194" s="91"/>
      <c r="AH194" s="91"/>
      <c r="AI194" s="91"/>
      <c r="AJ194" s="91"/>
      <c r="AK194" s="91"/>
      <c r="AL194" s="91"/>
      <c r="AM194" s="91"/>
      <c r="AN194" s="91"/>
      <c r="AO194" s="91"/>
      <c r="AP194" s="91"/>
      <c r="AQ194" s="91"/>
      <c r="AR194" s="91"/>
    </row>
    <row r="195" spans="1:44" s="465" customFormat="1" ht="18" x14ac:dyDescent="0.35">
      <c r="A195" s="201" t="s">
        <v>686</v>
      </c>
      <c r="AB195" s="91"/>
      <c r="AC195" s="91"/>
      <c r="AD195" s="91"/>
      <c r="AE195" s="91"/>
      <c r="AF195" s="91"/>
      <c r="AG195" s="91"/>
      <c r="AH195" s="91"/>
      <c r="AI195" s="91"/>
      <c r="AJ195" s="91"/>
      <c r="AK195" s="91"/>
      <c r="AL195" s="91"/>
      <c r="AM195" s="91"/>
      <c r="AN195" s="91"/>
      <c r="AO195" s="91"/>
      <c r="AP195" s="91"/>
      <c r="AQ195" s="91"/>
      <c r="AR195" s="91"/>
    </row>
    <row r="196" spans="1:44" s="465" customFormat="1" ht="28.95" customHeight="1" thickBot="1" x14ac:dyDescent="0.35">
      <c r="A196" s="976" t="s">
        <v>687</v>
      </c>
      <c r="B196" s="976"/>
      <c r="C196" s="976"/>
      <c r="D196" s="976"/>
      <c r="E196" s="976"/>
      <c r="F196" s="976"/>
      <c r="G196" s="976"/>
      <c r="H196" s="618"/>
      <c r="I196" s="618"/>
      <c r="J196" s="618"/>
      <c r="AB196" s="71"/>
      <c r="AC196" s="71"/>
      <c r="AD196" s="71"/>
      <c r="AE196" s="71"/>
      <c r="AF196" s="71"/>
      <c r="AG196" s="71"/>
      <c r="AH196" s="71"/>
      <c r="AI196" s="71"/>
      <c r="AJ196" s="71"/>
      <c r="AK196" s="71"/>
      <c r="AL196" s="71"/>
      <c r="AM196" s="71"/>
      <c r="AN196" s="71"/>
      <c r="AO196" s="71"/>
      <c r="AP196" s="71"/>
      <c r="AQ196" s="71"/>
      <c r="AR196" s="71"/>
    </row>
    <row r="197" spans="1:44" s="106" customFormat="1" x14ac:dyDescent="0.3">
      <c r="A197" s="378" t="s">
        <v>48</v>
      </c>
      <c r="B197" s="622" t="s">
        <v>0</v>
      </c>
      <c r="C197" s="379" t="s">
        <v>1</v>
      </c>
      <c r="D197" s="379" t="s">
        <v>2</v>
      </c>
      <c r="E197" s="379">
        <v>2001</v>
      </c>
      <c r="F197" s="379" t="s">
        <v>4</v>
      </c>
      <c r="G197" s="379" t="s">
        <v>5</v>
      </c>
      <c r="H197" s="379" t="s">
        <v>6</v>
      </c>
      <c r="I197" s="379" t="s">
        <v>7</v>
      </c>
      <c r="J197" s="379" t="s">
        <v>8</v>
      </c>
      <c r="K197" s="379" t="s">
        <v>9</v>
      </c>
      <c r="L197" s="379" t="s">
        <v>10</v>
      </c>
      <c r="M197" s="379" t="s">
        <v>11</v>
      </c>
      <c r="N197" s="379" t="s">
        <v>12</v>
      </c>
      <c r="O197" s="379" t="s">
        <v>13</v>
      </c>
      <c r="P197" s="379" t="s">
        <v>14</v>
      </c>
      <c r="Q197" s="379" t="s">
        <v>15</v>
      </c>
      <c r="R197" s="379" t="s">
        <v>16</v>
      </c>
      <c r="S197" s="379" t="s">
        <v>17</v>
      </c>
      <c r="T197" s="379" t="s">
        <v>18</v>
      </c>
      <c r="U197" s="379">
        <v>2017</v>
      </c>
      <c r="V197" s="382">
        <v>2018</v>
      </c>
      <c r="AB197" s="465"/>
      <c r="AC197" s="465"/>
      <c r="AD197" s="465"/>
      <c r="AE197" s="465"/>
      <c r="AF197" s="465"/>
      <c r="AG197" s="465"/>
      <c r="AH197" s="465"/>
      <c r="AI197" s="465"/>
      <c r="AJ197" s="465"/>
      <c r="AK197" s="465"/>
      <c r="AL197" s="465"/>
      <c r="AM197" s="465"/>
      <c r="AN197" s="465"/>
      <c r="AO197" s="465"/>
      <c r="AP197" s="465"/>
      <c r="AQ197" s="465"/>
      <c r="AR197" s="465"/>
    </row>
    <row r="198" spans="1:44" s="465" customFormat="1" x14ac:dyDescent="0.3">
      <c r="A198" s="380" t="s">
        <v>481</v>
      </c>
      <c r="B198" s="137">
        <v>80.099999999999994</v>
      </c>
      <c r="C198" s="623">
        <v>79.599999999999994</v>
      </c>
      <c r="D198" s="623">
        <v>81.7</v>
      </c>
      <c r="E198" s="623">
        <v>81.599999999999994</v>
      </c>
      <c r="F198" s="623">
        <v>79.3</v>
      </c>
      <c r="G198" s="623">
        <v>79.400000000000006</v>
      </c>
      <c r="H198" s="623">
        <v>78.3</v>
      </c>
      <c r="I198" s="623">
        <v>81</v>
      </c>
      <c r="J198" s="623">
        <v>83.1</v>
      </c>
      <c r="K198" s="623">
        <v>83.6</v>
      </c>
      <c r="L198" s="623">
        <v>93.9</v>
      </c>
      <c r="M198" s="623">
        <v>95.8</v>
      </c>
      <c r="N198" s="623">
        <v>99.2</v>
      </c>
      <c r="O198" s="623">
        <v>106.1</v>
      </c>
      <c r="P198" s="623">
        <v>105.3</v>
      </c>
      <c r="Q198" s="623">
        <v>106.3</v>
      </c>
      <c r="R198" s="623">
        <v>101.9</v>
      </c>
      <c r="S198" s="623">
        <v>96</v>
      </c>
      <c r="T198" s="623">
        <v>100</v>
      </c>
      <c r="U198" s="119">
        <v>105.4</v>
      </c>
      <c r="V198" s="142">
        <v>108.6</v>
      </c>
    </row>
    <row r="199" spans="1:44" s="465" customFormat="1" x14ac:dyDescent="0.3">
      <c r="A199" s="624" t="s">
        <v>483</v>
      </c>
      <c r="B199" s="197">
        <f>B198/100</f>
        <v>0.80099999999999993</v>
      </c>
      <c r="C199" s="190">
        <f>C198/100</f>
        <v>0.79599999999999993</v>
      </c>
      <c r="D199" s="190">
        <f>D198/100</f>
        <v>0.81700000000000006</v>
      </c>
      <c r="E199" s="190">
        <f>E198/100</f>
        <v>0.81599999999999995</v>
      </c>
      <c r="F199" s="190">
        <f t="shared" ref="F199:V199" si="23">F198/100</f>
        <v>0.79299999999999993</v>
      </c>
      <c r="G199" s="190">
        <f t="shared" si="23"/>
        <v>0.79400000000000004</v>
      </c>
      <c r="H199" s="190">
        <f t="shared" si="23"/>
        <v>0.78299999999999992</v>
      </c>
      <c r="I199" s="190">
        <f t="shared" si="23"/>
        <v>0.81</v>
      </c>
      <c r="J199" s="190">
        <f t="shared" si="23"/>
        <v>0.83099999999999996</v>
      </c>
      <c r="K199" s="190">
        <f t="shared" si="23"/>
        <v>0.83599999999999997</v>
      </c>
      <c r="L199" s="190">
        <f t="shared" si="23"/>
        <v>0.93900000000000006</v>
      </c>
      <c r="M199" s="190">
        <f t="shared" si="23"/>
        <v>0.95799999999999996</v>
      </c>
      <c r="N199" s="190">
        <f t="shared" si="23"/>
        <v>0.99199999999999999</v>
      </c>
      <c r="O199" s="190">
        <f t="shared" si="23"/>
        <v>1.0609999999999999</v>
      </c>
      <c r="P199" s="190">
        <f t="shared" si="23"/>
        <v>1.0529999999999999</v>
      </c>
      <c r="Q199" s="190">
        <f t="shared" si="23"/>
        <v>1.0629999999999999</v>
      </c>
      <c r="R199" s="190">
        <f t="shared" si="23"/>
        <v>1.0190000000000001</v>
      </c>
      <c r="S199" s="190">
        <f t="shared" si="23"/>
        <v>0.96</v>
      </c>
      <c r="T199" s="190">
        <f t="shared" si="23"/>
        <v>1</v>
      </c>
      <c r="U199" s="190">
        <f>U198/100</f>
        <v>1.054</v>
      </c>
      <c r="V199" s="191">
        <f t="shared" si="23"/>
        <v>1.0859999999999999</v>
      </c>
    </row>
    <row r="200" spans="1:44" s="465" customFormat="1" x14ac:dyDescent="0.3">
      <c r="A200" s="454" t="s">
        <v>482</v>
      </c>
      <c r="B200" s="137">
        <v>73.900000000000006</v>
      </c>
      <c r="C200" s="623">
        <v>74.2</v>
      </c>
      <c r="D200" s="623">
        <v>76</v>
      </c>
      <c r="E200" s="623">
        <v>76.5</v>
      </c>
      <c r="F200" s="623">
        <v>75.400000000000006</v>
      </c>
      <c r="G200" s="623">
        <v>76.599999999999994</v>
      </c>
      <c r="H200" s="623">
        <v>76</v>
      </c>
      <c r="I200" s="623">
        <v>78.599999999999994</v>
      </c>
      <c r="J200" s="623">
        <v>80.099999999999994</v>
      </c>
      <c r="K200" s="623">
        <v>79.2</v>
      </c>
      <c r="L200" s="623">
        <v>86.9</v>
      </c>
      <c r="M200" s="623">
        <v>90.2</v>
      </c>
      <c r="N200" s="623">
        <v>94.9</v>
      </c>
      <c r="O200" s="623">
        <v>99.8</v>
      </c>
      <c r="P200" s="623">
        <v>99.3</v>
      </c>
      <c r="Q200" s="623">
        <v>101.5</v>
      </c>
      <c r="R200" s="623">
        <v>98.6</v>
      </c>
      <c r="S200" s="623">
        <v>94.3</v>
      </c>
      <c r="T200" s="623">
        <v>100</v>
      </c>
      <c r="U200" s="119">
        <v>105</v>
      </c>
      <c r="V200" s="142">
        <v>107.7</v>
      </c>
      <c r="AB200" s="106"/>
      <c r="AC200" s="106"/>
      <c r="AD200" s="106"/>
      <c r="AE200" s="106"/>
      <c r="AF200" s="106"/>
      <c r="AG200" s="106"/>
      <c r="AH200" s="106"/>
      <c r="AI200" s="106"/>
      <c r="AJ200" s="106"/>
      <c r="AK200" s="106"/>
      <c r="AL200" s="106"/>
      <c r="AM200" s="106"/>
      <c r="AN200" s="106"/>
      <c r="AO200" s="106"/>
      <c r="AP200" s="106"/>
      <c r="AQ200" s="106"/>
      <c r="AR200" s="106"/>
    </row>
    <row r="201" spans="1:44" s="465" customFormat="1" ht="15" thickBot="1" x14ac:dyDescent="0.35">
      <c r="A201" s="456" t="s">
        <v>484</v>
      </c>
      <c r="B201" s="625">
        <f>B200/100</f>
        <v>0.7390000000000001</v>
      </c>
      <c r="C201" s="626">
        <f>C200/100</f>
        <v>0.74199999999999999</v>
      </c>
      <c r="D201" s="626">
        <f>D200/100</f>
        <v>0.76</v>
      </c>
      <c r="E201" s="626">
        <f>E200/100</f>
        <v>0.76500000000000001</v>
      </c>
      <c r="F201" s="626">
        <f t="shared" ref="F201:V201" si="24">F200/100</f>
        <v>0.754</v>
      </c>
      <c r="G201" s="626">
        <f t="shared" si="24"/>
        <v>0.7659999999999999</v>
      </c>
      <c r="H201" s="626">
        <f t="shared" si="24"/>
        <v>0.76</v>
      </c>
      <c r="I201" s="626">
        <f t="shared" si="24"/>
        <v>0.78599999999999992</v>
      </c>
      <c r="J201" s="626">
        <f t="shared" si="24"/>
        <v>0.80099999999999993</v>
      </c>
      <c r="K201" s="626">
        <f t="shared" si="24"/>
        <v>0.79200000000000004</v>
      </c>
      <c r="L201" s="626">
        <f t="shared" si="24"/>
        <v>0.86900000000000011</v>
      </c>
      <c r="M201" s="626">
        <f t="shared" si="24"/>
        <v>0.90200000000000002</v>
      </c>
      <c r="N201" s="626">
        <f t="shared" si="24"/>
        <v>0.94900000000000007</v>
      </c>
      <c r="O201" s="626">
        <f t="shared" si="24"/>
        <v>0.998</v>
      </c>
      <c r="P201" s="626">
        <f t="shared" si="24"/>
        <v>0.99299999999999999</v>
      </c>
      <c r="Q201" s="626">
        <f t="shared" si="24"/>
        <v>1.0149999999999999</v>
      </c>
      <c r="R201" s="626">
        <f t="shared" si="24"/>
        <v>0.98599999999999999</v>
      </c>
      <c r="S201" s="626">
        <f t="shared" si="24"/>
        <v>0.94299999999999995</v>
      </c>
      <c r="T201" s="626">
        <f t="shared" si="24"/>
        <v>1</v>
      </c>
      <c r="U201" s="626">
        <f>U200/100</f>
        <v>1.05</v>
      </c>
      <c r="V201" s="627">
        <f t="shared" si="24"/>
        <v>1.077</v>
      </c>
    </row>
    <row r="202" spans="1:44" x14ac:dyDescent="0.3">
      <c r="AB202" s="465"/>
      <c r="AC202" s="465"/>
      <c r="AD202" s="465"/>
      <c r="AE202" s="465"/>
      <c r="AF202" s="465"/>
      <c r="AG202" s="465"/>
      <c r="AH202" s="465"/>
      <c r="AI202" s="465"/>
      <c r="AJ202" s="465"/>
      <c r="AK202" s="465"/>
      <c r="AL202" s="465"/>
      <c r="AM202" s="465"/>
      <c r="AN202" s="465"/>
      <c r="AO202" s="465"/>
      <c r="AP202" s="465"/>
      <c r="AQ202" s="465"/>
      <c r="AR202" s="465"/>
    </row>
    <row r="203" spans="1:44" x14ac:dyDescent="0.3">
      <c r="A203" s="92" t="s">
        <v>482</v>
      </c>
      <c r="AB203" s="465"/>
      <c r="AC203" s="465"/>
      <c r="AD203" s="465"/>
      <c r="AE203" s="465"/>
      <c r="AF203" s="465"/>
      <c r="AG203" s="465"/>
      <c r="AH203" s="465"/>
      <c r="AI203" s="465"/>
      <c r="AJ203" s="465"/>
      <c r="AK203" s="465"/>
      <c r="AL203" s="465"/>
      <c r="AM203" s="465"/>
      <c r="AN203" s="465"/>
      <c r="AO203" s="465"/>
      <c r="AP203" s="465"/>
      <c r="AQ203" s="465"/>
      <c r="AR203" s="465"/>
    </row>
    <row r="204" spans="1:44" x14ac:dyDescent="0.3">
      <c r="A204" s="92" t="s">
        <v>481</v>
      </c>
      <c r="AB204" s="465"/>
      <c r="AC204" s="465"/>
      <c r="AD204" s="465"/>
      <c r="AE204" s="465"/>
      <c r="AF204" s="465"/>
      <c r="AG204" s="465"/>
      <c r="AH204" s="465"/>
      <c r="AI204" s="465"/>
      <c r="AJ204" s="465"/>
      <c r="AK204" s="465"/>
      <c r="AL204" s="465"/>
      <c r="AM204" s="465"/>
      <c r="AN204" s="465"/>
      <c r="AO204" s="465"/>
      <c r="AP204" s="465"/>
      <c r="AQ204" s="465"/>
      <c r="AR204" s="465"/>
    </row>
    <row r="205" spans="1:44" s="91" customFormat="1" ht="46.8" customHeight="1" x14ac:dyDescent="0.3">
      <c r="A205" s="971" t="s">
        <v>558</v>
      </c>
      <c r="B205" s="971"/>
      <c r="C205" s="971"/>
      <c r="D205" s="971"/>
      <c r="E205" s="971"/>
      <c r="F205" s="971"/>
      <c r="G205" s="971"/>
      <c r="H205" s="971"/>
      <c r="I205" s="971"/>
      <c r="J205" s="971"/>
      <c r="K205" s="971"/>
      <c r="L205" s="971"/>
      <c r="M205" s="971"/>
      <c r="AB205" s="71"/>
      <c r="AC205" s="71"/>
      <c r="AD205" s="71"/>
      <c r="AE205" s="71"/>
      <c r="AF205" s="71"/>
      <c r="AG205" s="71"/>
      <c r="AH205" s="71"/>
      <c r="AI205" s="71"/>
      <c r="AJ205" s="71"/>
      <c r="AK205" s="71"/>
      <c r="AL205" s="71"/>
      <c r="AM205" s="71"/>
      <c r="AN205" s="71"/>
      <c r="AO205" s="71"/>
      <c r="AP205" s="71"/>
      <c r="AQ205" s="71"/>
      <c r="AR205" s="71"/>
    </row>
    <row r="206" spans="1:44" s="91" customFormat="1" x14ac:dyDescent="0.3">
      <c r="A206" s="92"/>
      <c r="AB206" s="71"/>
      <c r="AC206" s="71"/>
      <c r="AD206" s="71"/>
      <c r="AE206" s="71"/>
      <c r="AF206" s="71"/>
      <c r="AG206" s="71"/>
      <c r="AH206" s="71"/>
      <c r="AI206" s="71"/>
      <c r="AJ206" s="71"/>
      <c r="AK206" s="71"/>
      <c r="AL206" s="71"/>
      <c r="AM206" s="71"/>
      <c r="AN206" s="71"/>
      <c r="AO206" s="71"/>
      <c r="AP206" s="71"/>
      <c r="AQ206" s="71"/>
      <c r="AR206" s="71"/>
    </row>
    <row r="207" spans="1:44" s="91" customFormat="1" ht="18" x14ac:dyDescent="0.35">
      <c r="A207" s="201" t="s">
        <v>515</v>
      </c>
      <c r="AB207" s="71"/>
      <c r="AC207" s="71"/>
      <c r="AD207" s="71"/>
      <c r="AE207" s="71"/>
      <c r="AF207" s="71"/>
      <c r="AG207" s="71"/>
      <c r="AH207" s="71"/>
      <c r="AI207" s="71"/>
      <c r="AJ207" s="71"/>
      <c r="AK207" s="71"/>
      <c r="AL207" s="71"/>
      <c r="AM207" s="71"/>
      <c r="AN207" s="71"/>
      <c r="AO207" s="71"/>
      <c r="AP207" s="71"/>
      <c r="AQ207" s="71"/>
      <c r="AR207" s="71"/>
    </row>
    <row r="208" spans="1:44" s="91" customFormat="1" x14ac:dyDescent="0.3">
      <c r="A208" s="2" t="s">
        <v>516</v>
      </c>
    </row>
    <row r="209" spans="1:44" s="91" customFormat="1" x14ac:dyDescent="0.3">
      <c r="A209" s="325" t="s">
        <v>265</v>
      </c>
    </row>
    <row r="210" spans="1:44" s="106" customFormat="1" x14ac:dyDescent="0.3">
      <c r="A210" s="104" t="s">
        <v>48</v>
      </c>
      <c r="B210" s="105" t="s">
        <v>1</v>
      </c>
      <c r="C210" s="105" t="s">
        <v>2</v>
      </c>
      <c r="D210" s="105">
        <v>2001</v>
      </c>
      <c r="E210" s="105" t="s">
        <v>4</v>
      </c>
      <c r="F210" s="105" t="s">
        <v>5</v>
      </c>
      <c r="G210" s="105" t="s">
        <v>6</v>
      </c>
      <c r="H210" s="105" t="s">
        <v>7</v>
      </c>
      <c r="I210" s="105" t="s">
        <v>8</v>
      </c>
      <c r="J210" s="105" t="s">
        <v>9</v>
      </c>
      <c r="K210" s="105" t="s">
        <v>10</v>
      </c>
      <c r="L210" s="105" t="s">
        <v>11</v>
      </c>
      <c r="M210" s="105" t="s">
        <v>12</v>
      </c>
      <c r="N210" s="105" t="s">
        <v>13</v>
      </c>
      <c r="O210" s="105" t="s">
        <v>14</v>
      </c>
      <c r="P210" s="105" t="s">
        <v>15</v>
      </c>
      <c r="Q210" s="105" t="s">
        <v>16</v>
      </c>
      <c r="R210" s="105" t="s">
        <v>17</v>
      </c>
      <c r="S210" s="105" t="s">
        <v>18</v>
      </c>
      <c r="AB210" s="91"/>
      <c r="AC210" s="91"/>
      <c r="AD210" s="91"/>
      <c r="AE210" s="91"/>
      <c r="AF210" s="91"/>
      <c r="AG210" s="91"/>
      <c r="AH210" s="91"/>
      <c r="AI210" s="91"/>
      <c r="AJ210" s="91"/>
      <c r="AK210" s="91"/>
      <c r="AL210" s="91"/>
      <c r="AM210" s="91"/>
      <c r="AN210" s="91"/>
      <c r="AO210" s="91"/>
      <c r="AP210" s="91"/>
      <c r="AQ210" s="91"/>
      <c r="AR210" s="91"/>
    </row>
    <row r="211" spans="1:44" s="91" customFormat="1" x14ac:dyDescent="0.3">
      <c r="A211" s="31" t="s">
        <v>460</v>
      </c>
      <c r="B211" s="91">
        <v>71.212000000000003</v>
      </c>
      <c r="C211" s="91">
        <v>72.727000000000004</v>
      </c>
      <c r="D211" s="91">
        <v>73.620999999999995</v>
      </c>
      <c r="E211" s="91">
        <v>75.343999999999994</v>
      </c>
      <c r="F211" s="91">
        <v>76.992999999999995</v>
      </c>
      <c r="G211" s="91">
        <v>79.135999999999996</v>
      </c>
      <c r="H211" s="91">
        <v>81.200999999999993</v>
      </c>
      <c r="I211" s="91">
        <v>83.745000000000005</v>
      </c>
      <c r="J211" s="91">
        <v>85.823999999999998</v>
      </c>
      <c r="K211" s="91">
        <v>88.055999999999997</v>
      </c>
      <c r="L211" s="91">
        <v>89.334999999999994</v>
      </c>
      <c r="M211" s="91">
        <v>90.966999999999999</v>
      </c>
      <c r="N211" s="91">
        <v>92.278000000000006</v>
      </c>
      <c r="O211" s="91">
        <v>94.194999999999993</v>
      </c>
      <c r="P211" s="91">
        <v>95.802999999999997</v>
      </c>
      <c r="Q211" s="91">
        <v>97.191999999999993</v>
      </c>
      <c r="R211" s="91">
        <v>97.847999999999999</v>
      </c>
      <c r="S211" s="91">
        <v>100</v>
      </c>
    </row>
    <row r="212" spans="1:44" s="91" customFormat="1" x14ac:dyDescent="0.3">
      <c r="A212" s="91" t="s">
        <v>461</v>
      </c>
      <c r="B212" s="62">
        <f>100/B211</f>
        <v>1.4042577093748243</v>
      </c>
      <c r="C212" s="62">
        <f t="shared" ref="C212:S212" si="25">100/C211</f>
        <v>1.3750051562693359</v>
      </c>
      <c r="D212" s="62">
        <f t="shared" si="25"/>
        <v>1.3583080914413008</v>
      </c>
      <c r="E212" s="62">
        <f t="shared" si="25"/>
        <v>1.327245699723933</v>
      </c>
      <c r="F212" s="62">
        <f t="shared" si="25"/>
        <v>1.2988193731897706</v>
      </c>
      <c r="G212" s="62">
        <f t="shared" si="25"/>
        <v>1.2636473918317834</v>
      </c>
      <c r="H212" s="62">
        <f t="shared" si="25"/>
        <v>1.2315119271930151</v>
      </c>
      <c r="I212" s="62">
        <f t="shared" si="25"/>
        <v>1.1941011403665889</v>
      </c>
      <c r="J212" s="62">
        <f t="shared" si="25"/>
        <v>1.1651752423564505</v>
      </c>
      <c r="K212" s="62">
        <f t="shared" si="25"/>
        <v>1.1356409557554283</v>
      </c>
      <c r="L212" s="62">
        <f t="shared" si="25"/>
        <v>1.1193821010802039</v>
      </c>
      <c r="M212" s="62">
        <f t="shared" si="25"/>
        <v>1.0992997460617586</v>
      </c>
      <c r="N212" s="62">
        <f t="shared" si="25"/>
        <v>1.0836819176835215</v>
      </c>
      <c r="O212" s="62">
        <f t="shared" si="25"/>
        <v>1.0616274749190511</v>
      </c>
      <c r="P212" s="62">
        <f t="shared" si="25"/>
        <v>1.0438086489984657</v>
      </c>
      <c r="Q212" s="62">
        <f t="shared" si="25"/>
        <v>1.0288912667709278</v>
      </c>
      <c r="R212" s="62">
        <f t="shared" si="25"/>
        <v>1.0219932957239801</v>
      </c>
      <c r="S212" s="62">
        <f t="shared" si="25"/>
        <v>1</v>
      </c>
    </row>
    <row r="213" spans="1:44" ht="13.2" customHeight="1" x14ac:dyDescent="0.3">
      <c r="AB213" s="106"/>
      <c r="AC213" s="106"/>
      <c r="AD213" s="106"/>
      <c r="AE213" s="106"/>
      <c r="AF213" s="106"/>
      <c r="AG213" s="106"/>
      <c r="AH213" s="106"/>
      <c r="AI213" s="106"/>
      <c r="AJ213" s="106"/>
      <c r="AK213" s="106"/>
      <c r="AL213" s="106"/>
      <c r="AM213" s="106"/>
      <c r="AN213" s="106"/>
      <c r="AO213" s="106"/>
      <c r="AP213" s="106"/>
      <c r="AQ213" s="106"/>
      <c r="AR213" s="106"/>
    </row>
    <row r="214" spans="1:44" ht="21" x14ac:dyDescent="0.4">
      <c r="A214" s="563" t="s">
        <v>641</v>
      </c>
      <c r="AB214" s="91"/>
      <c r="AC214" s="91"/>
      <c r="AD214" s="91"/>
      <c r="AE214" s="91"/>
      <c r="AF214" s="91"/>
      <c r="AG214" s="91"/>
      <c r="AH214" s="91"/>
      <c r="AI214" s="91"/>
      <c r="AJ214" s="91"/>
      <c r="AK214" s="91"/>
      <c r="AL214" s="91"/>
      <c r="AM214" s="91"/>
      <c r="AN214" s="91"/>
      <c r="AO214" s="91"/>
      <c r="AP214" s="91"/>
      <c r="AQ214" s="91"/>
      <c r="AR214" s="91"/>
    </row>
    <row r="215" spans="1:44" s="91" customFormat="1" ht="18.600000000000001" thickBot="1" x14ac:dyDescent="0.4">
      <c r="A215" s="201" t="s">
        <v>493</v>
      </c>
    </row>
    <row r="216" spans="1:44" s="91" customFormat="1" ht="18" x14ac:dyDescent="0.35">
      <c r="A216" s="352" t="s">
        <v>720</v>
      </c>
      <c r="B216" s="357" t="s">
        <v>503</v>
      </c>
      <c r="C216" s="358" t="s">
        <v>34</v>
      </c>
      <c r="D216" s="581" t="s">
        <v>502</v>
      </c>
      <c r="E216" s="91" t="s">
        <v>710</v>
      </c>
      <c r="AB216" s="71"/>
      <c r="AC216" s="71"/>
      <c r="AD216" s="71"/>
      <c r="AE216" s="71"/>
      <c r="AF216" s="71"/>
      <c r="AG216" s="71"/>
      <c r="AH216" s="71"/>
      <c r="AI216" s="71"/>
      <c r="AJ216" s="71"/>
      <c r="AK216" s="71"/>
      <c r="AL216" s="71"/>
      <c r="AM216" s="71"/>
      <c r="AN216" s="71"/>
      <c r="AO216" s="71"/>
      <c r="AP216" s="71"/>
      <c r="AQ216" s="71"/>
      <c r="AR216" s="71"/>
    </row>
    <row r="217" spans="1:44" x14ac:dyDescent="0.3">
      <c r="A217" s="292" t="s">
        <v>488</v>
      </c>
      <c r="B217" s="44">
        <f>B219+B221</f>
        <v>288.91800000000001</v>
      </c>
      <c r="C217" s="44">
        <f>B217-B218</f>
        <v>-64.048000000000002</v>
      </c>
      <c r="D217" s="582">
        <f>C217*1.33</f>
        <v>-85.183840000000004</v>
      </c>
      <c r="E217" s="92"/>
    </row>
    <row r="218" spans="1:44" x14ac:dyDescent="0.3">
      <c r="A218" s="292" t="s">
        <v>489</v>
      </c>
      <c r="B218" s="44">
        <f>B220+B222</f>
        <v>352.96600000000001</v>
      </c>
      <c r="C218" s="44"/>
      <c r="D218" s="582"/>
      <c r="E218" s="92"/>
      <c r="AB218" s="91"/>
      <c r="AC218" s="91"/>
      <c r="AD218" s="91"/>
      <c r="AE218" s="91"/>
      <c r="AF218" s="91"/>
      <c r="AG218" s="91"/>
      <c r="AH218" s="91"/>
      <c r="AI218" s="91"/>
      <c r="AJ218" s="91"/>
      <c r="AK218" s="91"/>
      <c r="AL218" s="91"/>
      <c r="AM218" s="91"/>
      <c r="AN218" s="91"/>
      <c r="AO218" s="91"/>
      <c r="AP218" s="91"/>
      <c r="AQ218" s="91"/>
      <c r="AR218" s="91"/>
    </row>
    <row r="219" spans="1:44" x14ac:dyDescent="0.3">
      <c r="A219" s="292" t="s">
        <v>490</v>
      </c>
      <c r="B219" s="44">
        <f>V177/1000</f>
        <v>172.21100000000001</v>
      </c>
      <c r="C219" s="44">
        <f>B219-B220</f>
        <v>-93.451999999999998</v>
      </c>
      <c r="D219" s="582">
        <f>C219*1.33</f>
        <v>-124.29116</v>
      </c>
      <c r="E219" s="325"/>
      <c r="AB219" s="91"/>
      <c r="AC219" s="91"/>
      <c r="AD219" s="91"/>
      <c r="AE219" s="91"/>
      <c r="AF219" s="91"/>
      <c r="AG219" s="91"/>
      <c r="AH219" s="91"/>
      <c r="AI219" s="91"/>
      <c r="AJ219" s="91"/>
      <c r="AK219" s="91"/>
      <c r="AL219" s="91"/>
      <c r="AM219" s="91"/>
      <c r="AN219" s="91"/>
      <c r="AO219" s="91"/>
      <c r="AP219" s="91"/>
      <c r="AQ219" s="91"/>
      <c r="AR219" s="91"/>
    </row>
    <row r="220" spans="1:44" x14ac:dyDescent="0.3">
      <c r="A220" s="292" t="s">
        <v>491</v>
      </c>
      <c r="B220" s="44">
        <f>V178/1000</f>
        <v>265.66300000000001</v>
      </c>
      <c r="C220" s="44"/>
      <c r="D220" s="582"/>
    </row>
    <row r="221" spans="1:44" x14ac:dyDescent="0.3">
      <c r="A221" s="292" t="s">
        <v>148</v>
      </c>
      <c r="B221" s="44">
        <f>'3. Trade in Services'!U173</f>
        <v>116.70699999999999</v>
      </c>
      <c r="C221" s="44">
        <f>B221-B222</f>
        <v>29.403999999999996</v>
      </c>
      <c r="D221" s="582">
        <f>C221*1.33</f>
        <v>39.107319999999994</v>
      </c>
      <c r="E221" s="92"/>
    </row>
    <row r="222" spans="1:44" x14ac:dyDescent="0.3">
      <c r="A222" s="292" t="s">
        <v>492</v>
      </c>
      <c r="B222" s="44">
        <f>'3. Trade in Services'!U174</f>
        <v>87.302999999999997</v>
      </c>
      <c r="C222" s="44"/>
      <c r="D222" s="582"/>
      <c r="E222" s="92"/>
    </row>
    <row r="223" spans="1:44" ht="15" thickBot="1" x14ac:dyDescent="0.35">
      <c r="A223" s="359" t="s">
        <v>494</v>
      </c>
      <c r="B223" s="360"/>
      <c r="C223" s="360"/>
      <c r="D223" s="583">
        <f>D217</f>
        <v>-85.183840000000004</v>
      </c>
      <c r="E223" s="92"/>
    </row>
    <row r="224" spans="1:44" s="91" customFormat="1" x14ac:dyDescent="0.3">
      <c r="AB224" s="71"/>
      <c r="AC224" s="71"/>
      <c r="AD224" s="71"/>
      <c r="AE224" s="71"/>
      <c r="AF224" s="71"/>
      <c r="AG224" s="71"/>
      <c r="AH224" s="71"/>
      <c r="AI224" s="71"/>
      <c r="AJ224" s="71"/>
      <c r="AK224" s="71"/>
      <c r="AL224" s="71"/>
      <c r="AM224" s="71"/>
      <c r="AN224" s="71"/>
      <c r="AO224" s="71"/>
      <c r="AP224" s="71"/>
      <c r="AQ224" s="71"/>
      <c r="AR224" s="71"/>
    </row>
    <row r="225" spans="1:44" s="91" customFormat="1" ht="15" thickBot="1" x14ac:dyDescent="0.35">
      <c r="A225" s="6" t="s">
        <v>495</v>
      </c>
      <c r="AB225" s="71"/>
      <c r="AC225" s="71"/>
      <c r="AD225" s="71"/>
      <c r="AE225" s="71"/>
      <c r="AF225" s="71"/>
      <c r="AG225" s="71"/>
      <c r="AH225" s="71"/>
      <c r="AI225" s="71"/>
      <c r="AJ225" s="71"/>
      <c r="AK225" s="71"/>
      <c r="AL225" s="71"/>
      <c r="AM225" s="71"/>
      <c r="AN225" s="71"/>
      <c r="AO225" s="71"/>
      <c r="AP225" s="71"/>
      <c r="AQ225" s="71"/>
      <c r="AR225" s="71"/>
    </row>
    <row r="226" spans="1:44" ht="18.600000000000001" thickBot="1" x14ac:dyDescent="0.4">
      <c r="A226" s="355" t="s">
        <v>721</v>
      </c>
      <c r="B226" s="356" t="s">
        <v>504</v>
      </c>
    </row>
    <row r="227" spans="1:44" x14ac:dyDescent="0.3">
      <c r="A227" s="292" t="s">
        <v>499</v>
      </c>
      <c r="B227" s="349">
        <v>120.34099999999999</v>
      </c>
      <c r="E227" s="92" t="s">
        <v>265</v>
      </c>
      <c r="F227" s="71" t="s">
        <v>709</v>
      </c>
      <c r="AB227" s="91"/>
      <c r="AC227" s="91"/>
      <c r="AD227" s="91"/>
      <c r="AE227" s="91"/>
      <c r="AF227" s="91"/>
      <c r="AG227" s="91"/>
      <c r="AH227" s="91"/>
      <c r="AI227" s="91"/>
      <c r="AJ227" s="91"/>
      <c r="AK227" s="91"/>
      <c r="AL227" s="91"/>
      <c r="AM227" s="91"/>
      <c r="AN227" s="91"/>
      <c r="AO227" s="91"/>
      <c r="AP227" s="91"/>
      <c r="AQ227" s="91"/>
      <c r="AR227" s="91"/>
    </row>
    <row r="228" spans="1:44" x14ac:dyDescent="0.3">
      <c r="A228" s="292" t="s">
        <v>500</v>
      </c>
      <c r="B228" s="349">
        <v>539.50300000000004</v>
      </c>
      <c r="E228" s="92" t="s">
        <v>265</v>
      </c>
      <c r="F228" s="71" t="s">
        <v>501</v>
      </c>
      <c r="AB228" s="91"/>
      <c r="AC228" s="91"/>
      <c r="AD228" s="91"/>
      <c r="AE228" s="91"/>
      <c r="AF228" s="91"/>
      <c r="AG228" s="91"/>
      <c r="AH228" s="91"/>
      <c r="AI228" s="91"/>
      <c r="AJ228" s="91"/>
      <c r="AK228" s="91"/>
      <c r="AL228" s="91"/>
      <c r="AM228" s="91"/>
      <c r="AN228" s="91"/>
      <c r="AO228" s="91"/>
      <c r="AP228" s="91"/>
      <c r="AQ228" s="91"/>
      <c r="AR228" s="91"/>
    </row>
    <row r="229" spans="1:44" x14ac:dyDescent="0.3">
      <c r="A229" s="292" t="s">
        <v>519</v>
      </c>
      <c r="B229" s="349">
        <f>B227-B228</f>
        <v>-419.16200000000003</v>
      </c>
      <c r="D229" s="92" t="s">
        <v>708</v>
      </c>
    </row>
    <row r="230" spans="1:44" x14ac:dyDescent="0.3">
      <c r="A230" s="292"/>
      <c r="B230" s="349"/>
    </row>
    <row r="231" spans="1:44" x14ac:dyDescent="0.3">
      <c r="A231" s="292" t="s">
        <v>496</v>
      </c>
      <c r="B231" s="349">
        <v>58.9</v>
      </c>
    </row>
    <row r="232" spans="1:44" x14ac:dyDescent="0.3">
      <c r="A232" s="292" t="s">
        <v>497</v>
      </c>
      <c r="B232" s="349">
        <v>18.399999999999999</v>
      </c>
    </row>
    <row r="233" spans="1:44" ht="15" thickBot="1" x14ac:dyDescent="0.35">
      <c r="A233" s="288" t="s">
        <v>498</v>
      </c>
      <c r="B233" s="350">
        <f>B231-B232</f>
        <v>40.5</v>
      </c>
    </row>
    <row r="234" spans="1:44" s="91" customFormat="1" ht="15" thickBot="1" x14ac:dyDescent="0.35">
      <c r="A234" s="538" t="s">
        <v>506</v>
      </c>
      <c r="B234" s="503">
        <f>B229+B233</f>
        <v>-378.66200000000003</v>
      </c>
      <c r="AB234" s="71"/>
      <c r="AC234" s="71"/>
      <c r="AD234" s="71"/>
      <c r="AE234" s="71"/>
      <c r="AF234" s="71"/>
      <c r="AG234" s="71"/>
      <c r="AH234" s="71"/>
      <c r="AI234" s="71"/>
      <c r="AJ234" s="71"/>
      <c r="AK234" s="71"/>
      <c r="AL234" s="71"/>
      <c r="AM234" s="71"/>
      <c r="AN234" s="71"/>
      <c r="AO234" s="71"/>
      <c r="AP234" s="71"/>
      <c r="AQ234" s="71"/>
      <c r="AR234" s="71"/>
    </row>
    <row r="235" spans="1:44" s="91" customFormat="1" x14ac:dyDescent="0.3">
      <c r="A235" s="44"/>
      <c r="B235" s="44"/>
      <c r="D235" s="92" t="s">
        <v>265</v>
      </c>
      <c r="AB235" s="71"/>
      <c r="AC235" s="71"/>
      <c r="AD235" s="71"/>
      <c r="AE235" s="71"/>
      <c r="AF235" s="71"/>
      <c r="AG235" s="71"/>
      <c r="AH235" s="71"/>
      <c r="AI235" s="71"/>
      <c r="AJ235" s="71"/>
      <c r="AK235" s="71"/>
      <c r="AL235" s="71"/>
      <c r="AM235" s="71"/>
      <c r="AN235" s="71"/>
      <c r="AO235" s="71"/>
      <c r="AP235" s="71"/>
      <c r="AQ235" s="71"/>
      <c r="AR235" s="71"/>
    </row>
    <row r="236" spans="1:44" s="91" customFormat="1" ht="15" thickBot="1" x14ac:dyDescent="0.35">
      <c r="A236" s="44"/>
      <c r="B236" s="44"/>
      <c r="AB236" s="71"/>
      <c r="AC236" s="71"/>
      <c r="AD236" s="71"/>
      <c r="AE236" s="71"/>
      <c r="AF236" s="71"/>
      <c r="AG236" s="71"/>
      <c r="AH236" s="71"/>
      <c r="AI236" s="71"/>
      <c r="AJ236" s="71"/>
      <c r="AK236" s="71"/>
      <c r="AL236" s="71"/>
      <c r="AM236" s="71"/>
      <c r="AN236" s="71"/>
      <c r="AO236" s="71"/>
      <c r="AP236" s="71"/>
      <c r="AQ236" s="71"/>
      <c r="AR236" s="71"/>
    </row>
    <row r="237" spans="1:44" ht="18" x14ac:dyDescent="0.35">
      <c r="A237" s="361" t="s">
        <v>508</v>
      </c>
      <c r="B237" s="362" t="s">
        <v>507</v>
      </c>
      <c r="AB237" s="91"/>
      <c r="AC237" s="91"/>
      <c r="AD237" s="91"/>
      <c r="AE237" s="91"/>
      <c r="AF237" s="91"/>
      <c r="AG237" s="91"/>
      <c r="AH237" s="91"/>
      <c r="AI237" s="91"/>
      <c r="AJ237" s="91"/>
      <c r="AK237" s="91"/>
      <c r="AL237" s="91"/>
      <c r="AM237" s="91"/>
      <c r="AN237" s="91"/>
      <c r="AO237" s="91"/>
      <c r="AP237" s="91"/>
      <c r="AQ237" s="91"/>
      <c r="AR237" s="91"/>
    </row>
    <row r="238" spans="1:44" x14ac:dyDescent="0.3">
      <c r="A238" s="363" t="s">
        <v>505</v>
      </c>
      <c r="B238" s="585">
        <f>-(B234)</f>
        <v>378.66200000000003</v>
      </c>
      <c r="AB238" s="91"/>
      <c r="AC238" s="91"/>
      <c r="AD238" s="91"/>
      <c r="AE238" s="91"/>
      <c r="AF238" s="91"/>
      <c r="AG238" s="91"/>
      <c r="AH238" s="91"/>
      <c r="AI238" s="91"/>
      <c r="AJ238" s="91"/>
      <c r="AK238" s="91"/>
      <c r="AL238" s="91"/>
      <c r="AM238" s="91"/>
      <c r="AN238" s="91"/>
      <c r="AO238" s="91"/>
      <c r="AP238" s="91"/>
      <c r="AQ238" s="91"/>
      <c r="AR238" s="91"/>
    </row>
    <row r="239" spans="1:44" ht="15" thickBot="1" x14ac:dyDescent="0.35">
      <c r="A239" s="365" t="s">
        <v>518</v>
      </c>
      <c r="B239" s="584">
        <f>-(D223)</f>
        <v>85.183840000000004</v>
      </c>
      <c r="D239" s="62">
        <f>B238/B239</f>
        <v>4.4452328047197689</v>
      </c>
      <c r="AB239" s="91"/>
      <c r="AC239" s="91"/>
      <c r="AD239" s="91"/>
      <c r="AE239" s="91"/>
      <c r="AF239" s="91"/>
      <c r="AG239" s="91"/>
      <c r="AH239" s="91"/>
      <c r="AI239" s="91"/>
      <c r="AJ239" s="91"/>
      <c r="AK239" s="91"/>
      <c r="AL239" s="91"/>
      <c r="AM239" s="91"/>
      <c r="AN239" s="91"/>
      <c r="AO239" s="91"/>
      <c r="AP239" s="91"/>
      <c r="AQ239" s="91"/>
      <c r="AR239" s="91"/>
    </row>
    <row r="240" spans="1:44" ht="15" thickBot="1" x14ac:dyDescent="0.35"/>
    <row r="241" spans="1:44" ht="18" x14ac:dyDescent="0.35">
      <c r="A241" s="361" t="s">
        <v>509</v>
      </c>
      <c r="B241" s="367" t="s">
        <v>507</v>
      </c>
      <c r="C241" s="362" t="s">
        <v>511</v>
      </c>
      <c r="D241" s="465" t="s">
        <v>510</v>
      </c>
      <c r="E241" s="353"/>
      <c r="F241" s="465"/>
    </row>
    <row r="242" spans="1:44" x14ac:dyDescent="0.3">
      <c r="A242" s="363" t="s">
        <v>505</v>
      </c>
      <c r="B242" s="354">
        <f>B238/D242</f>
        <v>60.104746132948947</v>
      </c>
      <c r="C242" s="364">
        <v>18.036999999999999</v>
      </c>
      <c r="D242" s="62">
        <f>C242/C243</f>
        <v>6.3000349283967862</v>
      </c>
      <c r="F242" s="71" t="s">
        <v>512</v>
      </c>
    </row>
    <row r="243" spans="1:44" ht="15" thickBot="1" x14ac:dyDescent="0.35">
      <c r="A243" s="365" t="s">
        <v>518</v>
      </c>
      <c r="B243" s="368">
        <v>78.8</v>
      </c>
      <c r="C243" s="366">
        <v>2.863</v>
      </c>
      <c r="D243" s="62">
        <f>B243/B242</f>
        <v>1.3110445525499435</v>
      </c>
      <c r="F243" s="465"/>
    </row>
    <row r="244" spans="1:44" ht="15" thickBot="1" x14ac:dyDescent="0.35"/>
    <row r="245" spans="1:44" ht="18" x14ac:dyDescent="0.35">
      <c r="A245" s="361" t="s">
        <v>517</v>
      </c>
      <c r="B245" s="367" t="s">
        <v>514</v>
      </c>
      <c r="C245" s="362" t="s">
        <v>513</v>
      </c>
      <c r="D245" s="635"/>
    </row>
    <row r="246" spans="1:44" x14ac:dyDescent="0.3">
      <c r="A246" s="363" t="s">
        <v>526</v>
      </c>
      <c r="B246" s="374">
        <f>(B238/C246)*1000</f>
        <v>1176.6998135487881</v>
      </c>
      <c r="C246" s="364">
        <f>321.8</f>
        <v>321.8</v>
      </c>
      <c r="D246" s="91"/>
    </row>
    <row r="247" spans="1:44" ht="15" thickBot="1" x14ac:dyDescent="0.35">
      <c r="A247" s="365" t="s">
        <v>527</v>
      </c>
      <c r="B247" s="375">
        <f>(B239/C247)*1000</f>
        <v>1316.5972179289026</v>
      </c>
      <c r="C247" s="366">
        <v>64.7</v>
      </c>
      <c r="D247" s="62">
        <f>B247/B246</f>
        <v>1.1188896290874735</v>
      </c>
    </row>
    <row r="250" spans="1:44" x14ac:dyDescent="0.3">
      <c r="A250" s="2" t="s">
        <v>520</v>
      </c>
    </row>
    <row r="251" spans="1:44" x14ac:dyDescent="0.3">
      <c r="A251" s="325" t="s">
        <v>265</v>
      </c>
    </row>
    <row r="252" spans="1:44" x14ac:dyDescent="0.3">
      <c r="A252" s="325" t="s">
        <v>521</v>
      </c>
    </row>
    <row r="254" spans="1:44" s="465" customFormat="1" x14ac:dyDescent="0.3">
      <c r="AB254" s="71"/>
      <c r="AC254" s="71"/>
      <c r="AD254" s="71"/>
      <c r="AE254" s="71"/>
      <c r="AF254" s="71"/>
      <c r="AG254" s="71"/>
      <c r="AH254" s="71"/>
      <c r="AI254" s="71"/>
      <c r="AJ254" s="71"/>
      <c r="AK254" s="71"/>
      <c r="AL254" s="71"/>
      <c r="AM254" s="71"/>
      <c r="AN254" s="71"/>
      <c r="AO254" s="71"/>
      <c r="AP254" s="71"/>
      <c r="AQ254" s="71"/>
      <c r="AR254" s="71"/>
    </row>
    <row r="255" spans="1:44" ht="21" x14ac:dyDescent="0.4">
      <c r="A255" s="563" t="s">
        <v>591</v>
      </c>
    </row>
    <row r="256" spans="1:44" ht="15" thickBot="1" x14ac:dyDescent="0.35">
      <c r="A256" s="6" t="s">
        <v>589</v>
      </c>
    </row>
    <row r="257" spans="1:44" ht="15" thickBot="1" x14ac:dyDescent="0.35">
      <c r="A257" s="504" t="s">
        <v>719</v>
      </c>
      <c r="B257" s="504" t="s">
        <v>602</v>
      </c>
      <c r="C257" s="543" t="s">
        <v>179</v>
      </c>
      <c r="AB257" s="465"/>
      <c r="AC257" s="465"/>
      <c r="AD257" s="465"/>
      <c r="AE257" s="465"/>
      <c r="AF257" s="465"/>
      <c r="AG257" s="465"/>
      <c r="AH257" s="465"/>
      <c r="AI257" s="465"/>
      <c r="AJ257" s="465"/>
      <c r="AK257" s="465"/>
      <c r="AL257" s="465"/>
      <c r="AM257" s="465"/>
      <c r="AN257" s="465"/>
      <c r="AO257" s="465"/>
      <c r="AP257" s="465"/>
      <c r="AQ257" s="465"/>
      <c r="AR257" s="465"/>
    </row>
    <row r="258" spans="1:44" x14ac:dyDescent="0.3">
      <c r="A258" s="292" t="s">
        <v>586</v>
      </c>
      <c r="B258" s="513">
        <f>B75</f>
        <v>3.1002118786171984E-3</v>
      </c>
      <c r="C258" s="544"/>
    </row>
    <row r="259" spans="1:44" x14ac:dyDescent="0.3">
      <c r="A259" s="292" t="s">
        <v>587</v>
      </c>
      <c r="B259" s="513">
        <f>AA262</f>
        <v>1.0400000000000003E-2</v>
      </c>
      <c r="C259" s="544" t="s">
        <v>577</v>
      </c>
      <c r="E259" s="546" t="s">
        <v>603</v>
      </c>
    </row>
    <row r="260" spans="1:44" ht="15" thickBot="1" x14ac:dyDescent="0.35">
      <c r="A260" s="292" t="s">
        <v>588</v>
      </c>
      <c r="B260" s="513">
        <v>1.5599999999999999E-2</v>
      </c>
      <c r="C260" s="545" t="s">
        <v>214</v>
      </c>
      <c r="E260" s="6" t="s">
        <v>576</v>
      </c>
      <c r="F260" s="6" t="s">
        <v>577</v>
      </c>
      <c r="G260" s="501" t="s">
        <v>265</v>
      </c>
    </row>
    <row r="261" spans="1:44" ht="15" thickBot="1" x14ac:dyDescent="0.35">
      <c r="A261" s="288" t="s">
        <v>585</v>
      </c>
      <c r="B261" s="514">
        <f>I280</f>
        <v>2.2429599800198652E-2</v>
      </c>
      <c r="C261" s="647" t="s">
        <v>601</v>
      </c>
      <c r="E261" s="511">
        <v>1998</v>
      </c>
      <c r="F261" s="512">
        <v>1999</v>
      </c>
      <c r="G261" s="512">
        <v>2000</v>
      </c>
      <c r="H261" s="512">
        <v>2001</v>
      </c>
      <c r="I261" s="512">
        <v>2002</v>
      </c>
      <c r="J261" s="512">
        <v>2003</v>
      </c>
      <c r="K261" s="512">
        <v>2004</v>
      </c>
      <c r="L261" s="512">
        <v>2005</v>
      </c>
      <c r="M261" s="512">
        <v>2006</v>
      </c>
      <c r="N261" s="512">
        <v>2007</v>
      </c>
      <c r="O261" s="512">
        <v>2008</v>
      </c>
      <c r="P261" s="512">
        <v>2009</v>
      </c>
      <c r="Q261" s="512">
        <v>2010</v>
      </c>
      <c r="R261" s="512">
        <v>2011</v>
      </c>
      <c r="S261" s="512">
        <v>2012</v>
      </c>
      <c r="T261" s="512">
        <v>2013</v>
      </c>
      <c r="U261" s="512">
        <v>2014</v>
      </c>
      <c r="V261" s="512">
        <v>2015</v>
      </c>
      <c r="W261" s="512">
        <v>2016</v>
      </c>
      <c r="X261" s="512">
        <v>2017</v>
      </c>
      <c r="Y261" s="512">
        <v>2018</v>
      </c>
      <c r="Z261" s="512"/>
      <c r="AA261" s="502" t="s">
        <v>575</v>
      </c>
    </row>
    <row r="262" spans="1:44" ht="15" thickBot="1" x14ac:dyDescent="0.35">
      <c r="E262" s="288">
        <v>2.8</v>
      </c>
      <c r="F262" s="381">
        <v>2.4</v>
      </c>
      <c r="G262" s="381">
        <v>3.2</v>
      </c>
      <c r="H262" s="381">
        <v>1.5</v>
      </c>
      <c r="I262" s="381">
        <v>2.4</v>
      </c>
      <c r="J262" s="381">
        <v>2.9</v>
      </c>
      <c r="K262" s="381">
        <v>1.2</v>
      </c>
      <c r="L262" s="381">
        <v>2</v>
      </c>
      <c r="M262" s="381">
        <v>1.8</v>
      </c>
      <c r="N262" s="381">
        <v>1.5</v>
      </c>
      <c r="O262" s="381">
        <v>-0.6</v>
      </c>
      <c r="P262" s="381">
        <v>-1.5</v>
      </c>
      <c r="Q262" s="381">
        <v>1.3</v>
      </c>
      <c r="R262" s="381">
        <v>1.1000000000000001</v>
      </c>
      <c r="S262" s="381">
        <v>-0.7</v>
      </c>
      <c r="T262" s="381">
        <v>-0.4</v>
      </c>
      <c r="U262" s="381">
        <v>0.6</v>
      </c>
      <c r="V262" s="381">
        <v>1</v>
      </c>
      <c r="W262" s="381">
        <v>0.5</v>
      </c>
      <c r="X262" s="381">
        <v>0.1</v>
      </c>
      <c r="Y262" s="381">
        <v>0.5</v>
      </c>
      <c r="Z262" s="381">
        <f>SUM(F262:Y262)</f>
        <v>20.800000000000004</v>
      </c>
      <c r="AA262" s="542">
        <f>Z262/2000</f>
        <v>1.0400000000000003E-2</v>
      </c>
    </row>
    <row r="263" spans="1:44" s="465" customFormat="1" x14ac:dyDescent="0.3">
      <c r="AB263" s="71"/>
      <c r="AC263" s="71"/>
      <c r="AD263" s="71"/>
      <c r="AE263" s="71"/>
      <c r="AF263" s="71"/>
      <c r="AG263" s="71"/>
      <c r="AH263" s="71"/>
      <c r="AI263" s="71"/>
      <c r="AJ263" s="71"/>
      <c r="AK263" s="71"/>
      <c r="AL263" s="71"/>
      <c r="AM263" s="71"/>
      <c r="AN263" s="71"/>
      <c r="AO263" s="71"/>
      <c r="AP263" s="71"/>
      <c r="AQ263" s="71"/>
      <c r="AR263" s="71"/>
    </row>
    <row r="264" spans="1:44" x14ac:dyDescent="0.3">
      <c r="E264" s="546" t="s">
        <v>604</v>
      </c>
    </row>
    <row r="265" spans="1:44" ht="15" thickBot="1" x14ac:dyDescent="0.35">
      <c r="E265" s="6" t="s">
        <v>583</v>
      </c>
      <c r="F265" s="6" t="s">
        <v>578</v>
      </c>
      <c r="G265" s="501" t="s">
        <v>265</v>
      </c>
      <c r="H265" s="6" t="s">
        <v>595</v>
      </c>
      <c r="J265" s="92" t="s">
        <v>596</v>
      </c>
    </row>
    <row r="266" spans="1:44" ht="15" thickBot="1" x14ac:dyDescent="0.35">
      <c r="D266" s="465"/>
      <c r="E266" s="504" t="s">
        <v>48</v>
      </c>
      <c r="F266" s="504">
        <v>1998</v>
      </c>
      <c r="G266" s="509">
        <v>1999</v>
      </c>
      <c r="H266" s="509">
        <v>2000</v>
      </c>
      <c r="I266" s="509">
        <v>2001</v>
      </c>
      <c r="J266" s="509">
        <v>2002</v>
      </c>
      <c r="K266" s="509">
        <v>2003</v>
      </c>
      <c r="L266" s="509">
        <v>2004</v>
      </c>
      <c r="M266" s="509">
        <v>2005</v>
      </c>
      <c r="N266" s="509">
        <v>2006</v>
      </c>
      <c r="O266" s="509">
        <v>2007</v>
      </c>
      <c r="P266" s="509">
        <v>2008</v>
      </c>
      <c r="Q266" s="509">
        <v>2009</v>
      </c>
      <c r="R266" s="509">
        <v>2010</v>
      </c>
      <c r="S266" s="509">
        <v>20111</v>
      </c>
      <c r="T266" s="509">
        <v>2012</v>
      </c>
      <c r="U266" s="509">
        <v>2013</v>
      </c>
      <c r="V266" s="509">
        <v>2014</v>
      </c>
      <c r="W266" s="509">
        <v>2015</v>
      </c>
      <c r="X266" s="509">
        <v>2016</v>
      </c>
      <c r="Y266" s="509">
        <v>2017</v>
      </c>
      <c r="Z266" s="510">
        <v>2018</v>
      </c>
      <c r="AA266" s="637">
        <v>2019</v>
      </c>
      <c r="AB266" s="465"/>
      <c r="AC266" s="465"/>
      <c r="AD266" s="465"/>
      <c r="AE266" s="465"/>
      <c r="AF266" s="465"/>
      <c r="AG266" s="465"/>
      <c r="AH266" s="465"/>
      <c r="AI266" s="465"/>
      <c r="AJ266" s="465"/>
      <c r="AK266" s="465"/>
      <c r="AL266" s="465"/>
      <c r="AM266" s="465"/>
      <c r="AN266" s="465"/>
      <c r="AO266" s="465"/>
      <c r="AP266" s="465"/>
      <c r="AQ266" s="465"/>
      <c r="AR266" s="465"/>
    </row>
    <row r="267" spans="1:44" x14ac:dyDescent="0.3">
      <c r="D267" s="465"/>
      <c r="E267" s="454" t="s">
        <v>597</v>
      </c>
      <c r="F267" s="292">
        <v>152</v>
      </c>
      <c r="G267" s="44">
        <v>154.80000000000001</v>
      </c>
      <c r="H267" s="44">
        <v>168.2</v>
      </c>
      <c r="I267" s="44">
        <v>161.9</v>
      </c>
      <c r="J267" s="44">
        <v>146.6</v>
      </c>
      <c r="K267" s="44">
        <v>155.69999999999999</v>
      </c>
      <c r="L267" s="44">
        <v>171.2</v>
      </c>
      <c r="M267" s="44">
        <v>185.2</v>
      </c>
      <c r="N267" s="44">
        <v>211.9</v>
      </c>
      <c r="O267" s="44">
        <v>244.2</v>
      </c>
      <c r="P267" s="44">
        <v>271.8</v>
      </c>
      <c r="Q267" s="44">
        <v>220.6</v>
      </c>
      <c r="R267" s="44">
        <v>239.6</v>
      </c>
      <c r="S267" s="44">
        <v>269.10000000000002</v>
      </c>
      <c r="T267" s="44">
        <v>265.39999999999998</v>
      </c>
      <c r="U267" s="44">
        <v>262.10000000000002</v>
      </c>
      <c r="V267" s="44">
        <v>276.3</v>
      </c>
      <c r="W267" s="44">
        <v>271.89999999999998</v>
      </c>
      <c r="X267" s="44">
        <v>269.5</v>
      </c>
      <c r="Y267" s="44">
        <v>283.3</v>
      </c>
      <c r="Z267" s="636">
        <v>318.61900000000003</v>
      </c>
      <c r="AA267" s="497"/>
    </row>
    <row r="268" spans="1:44" ht="29.4" thickBot="1" x14ac:dyDescent="0.35">
      <c r="D268" s="465"/>
      <c r="E268" s="523" t="s">
        <v>598</v>
      </c>
      <c r="F268" s="288">
        <v>-3.6</v>
      </c>
      <c r="G268" s="381">
        <v>-1.4</v>
      </c>
      <c r="H268" s="381">
        <v>1.9</v>
      </c>
      <c r="I268" s="381">
        <v>-1</v>
      </c>
      <c r="J268" s="381">
        <v>-0.7</v>
      </c>
      <c r="K268" s="381">
        <v>1.1000000000000001</v>
      </c>
      <c r="L268" s="381">
        <v>4.5</v>
      </c>
      <c r="M268" s="381">
        <v>2.8</v>
      </c>
      <c r="N268" s="381">
        <v>4.5</v>
      </c>
      <c r="O268" s="381">
        <v>4</v>
      </c>
      <c r="P268" s="381">
        <v>8.6999999999999993</v>
      </c>
      <c r="Q268" s="381">
        <v>-8.3000000000000007</v>
      </c>
      <c r="R268" s="381">
        <v>3.9</v>
      </c>
      <c r="S268" s="381">
        <v>9.8000000000000007</v>
      </c>
      <c r="T268" s="381">
        <v>-1.3</v>
      </c>
      <c r="U268" s="381">
        <v>0.3</v>
      </c>
      <c r="V268" s="381">
        <v>0.4</v>
      </c>
      <c r="W268" s="381">
        <v>-6.2</v>
      </c>
      <c r="X268" s="381">
        <v>-3</v>
      </c>
      <c r="Y268" s="381">
        <v>0.9</v>
      </c>
      <c r="Z268" s="350">
        <v>4.8</v>
      </c>
      <c r="AA268" s="2">
        <v>-0.2</v>
      </c>
    </row>
    <row r="269" spans="1:44" x14ac:dyDescent="0.3">
      <c r="D269" s="465"/>
    </row>
    <row r="270" spans="1:44" s="465" customFormat="1" ht="15" thickBot="1" x14ac:dyDescent="0.35">
      <c r="E270" s="6" t="s">
        <v>599</v>
      </c>
      <c r="AB270" s="71"/>
      <c r="AC270" s="71"/>
      <c r="AD270" s="71"/>
      <c r="AE270" s="71"/>
      <c r="AF270" s="71"/>
      <c r="AG270" s="71"/>
      <c r="AH270" s="71"/>
      <c r="AI270" s="71"/>
      <c r="AJ270" s="71"/>
      <c r="AK270" s="71"/>
      <c r="AL270" s="71"/>
      <c r="AM270" s="71"/>
      <c r="AN270" s="71"/>
      <c r="AO270" s="71"/>
      <c r="AP270" s="71"/>
      <c r="AQ270" s="71"/>
      <c r="AR270" s="71"/>
    </row>
    <row r="271" spans="1:44" x14ac:dyDescent="0.3">
      <c r="D271" s="465"/>
      <c r="E271" s="524" t="s">
        <v>592</v>
      </c>
      <c r="F271" s="534">
        <v>100</v>
      </c>
      <c r="G271" s="505">
        <f t="shared" ref="G271:Y271" si="26">G268/100</f>
        <v>-1.3999999999999999E-2</v>
      </c>
      <c r="H271" s="505">
        <f t="shared" si="26"/>
        <v>1.9E-2</v>
      </c>
      <c r="I271" s="505">
        <f t="shared" si="26"/>
        <v>-0.01</v>
      </c>
      <c r="J271" s="505">
        <f t="shared" si="26"/>
        <v>-6.9999999999999993E-3</v>
      </c>
      <c r="K271" s="505">
        <f t="shared" si="26"/>
        <v>1.1000000000000001E-2</v>
      </c>
      <c r="L271" s="505">
        <f t="shared" si="26"/>
        <v>4.4999999999999998E-2</v>
      </c>
      <c r="M271" s="505">
        <f t="shared" si="26"/>
        <v>2.7999999999999997E-2</v>
      </c>
      <c r="N271" s="505">
        <f t="shared" si="26"/>
        <v>4.4999999999999998E-2</v>
      </c>
      <c r="O271" s="505">
        <f t="shared" si="26"/>
        <v>0.04</v>
      </c>
      <c r="P271" s="505">
        <f t="shared" si="26"/>
        <v>8.6999999999999994E-2</v>
      </c>
      <c r="Q271" s="505">
        <f t="shared" si="26"/>
        <v>-8.3000000000000004E-2</v>
      </c>
      <c r="R271" s="505">
        <f t="shared" si="26"/>
        <v>3.9E-2</v>
      </c>
      <c r="S271" s="505">
        <f t="shared" si="26"/>
        <v>9.8000000000000004E-2</v>
      </c>
      <c r="T271" s="505">
        <f t="shared" si="26"/>
        <v>-1.3000000000000001E-2</v>
      </c>
      <c r="U271" s="505">
        <f t="shared" si="26"/>
        <v>3.0000000000000001E-3</v>
      </c>
      <c r="V271" s="505">
        <f t="shared" si="26"/>
        <v>4.0000000000000001E-3</v>
      </c>
      <c r="W271" s="505">
        <f t="shared" si="26"/>
        <v>-6.2E-2</v>
      </c>
      <c r="X271" s="505">
        <f t="shared" si="26"/>
        <v>-0.03</v>
      </c>
      <c r="Y271" s="502">
        <f t="shared" si="26"/>
        <v>9.0000000000000011E-3</v>
      </c>
      <c r="Z271" s="505">
        <f>Z268/100</f>
        <v>4.8000000000000001E-2</v>
      </c>
      <c r="AB271" s="92" t="s">
        <v>579</v>
      </c>
      <c r="AD271" s="71" t="s">
        <v>580</v>
      </c>
      <c r="AG271" s="71" t="s">
        <v>581</v>
      </c>
    </row>
    <row r="272" spans="1:44" x14ac:dyDescent="0.3">
      <c r="D272" s="465"/>
      <c r="E272" s="292" t="s">
        <v>593</v>
      </c>
      <c r="F272" s="70">
        <v>100</v>
      </c>
      <c r="G272" s="44">
        <f>100+(F271*G271)</f>
        <v>98.6</v>
      </c>
      <c r="H272" s="506">
        <f t="shared" ref="H272:M272" si="27">G272+(G272*H271)</f>
        <v>100.4734</v>
      </c>
      <c r="I272" s="506">
        <f t="shared" si="27"/>
        <v>99.468665999999999</v>
      </c>
      <c r="J272" s="506">
        <f t="shared" si="27"/>
        <v>98.772385337999992</v>
      </c>
      <c r="K272" s="506">
        <f t="shared" si="27"/>
        <v>99.858881576717991</v>
      </c>
      <c r="L272" s="506">
        <f t="shared" si="27"/>
        <v>104.3525312476703</v>
      </c>
      <c r="M272" s="506">
        <f t="shared" si="27"/>
        <v>107.27440212260507</v>
      </c>
      <c r="N272" s="506">
        <f t="shared" ref="N272:U272" si="28">M272+(M272*N271)</f>
        <v>112.10175021812229</v>
      </c>
      <c r="O272" s="506">
        <f t="shared" si="28"/>
        <v>116.58582022684718</v>
      </c>
      <c r="P272" s="506">
        <f t="shared" si="28"/>
        <v>126.72878658658288</v>
      </c>
      <c r="Q272" s="506">
        <f t="shared" si="28"/>
        <v>116.21029729989651</v>
      </c>
      <c r="R272" s="506">
        <f t="shared" si="28"/>
        <v>120.74249889459247</v>
      </c>
      <c r="S272" s="506">
        <f t="shared" si="28"/>
        <v>132.57526378626252</v>
      </c>
      <c r="T272" s="506">
        <f t="shared" ref="T272:Z272" si="29">S272+(S272*T271)</f>
        <v>130.85178535704111</v>
      </c>
      <c r="U272" s="506">
        <f t="shared" si="28"/>
        <v>131.24434071311222</v>
      </c>
      <c r="V272" s="506">
        <f t="shared" si="29"/>
        <v>131.76931807596466</v>
      </c>
      <c r="W272" s="506">
        <f t="shared" si="29"/>
        <v>123.59962035525486</v>
      </c>
      <c r="X272" s="506">
        <f t="shared" si="29"/>
        <v>119.89163174459721</v>
      </c>
      <c r="Y272" s="525">
        <f t="shared" si="29"/>
        <v>120.97065643029858</v>
      </c>
      <c r="Z272" s="506">
        <f t="shared" si="29"/>
        <v>126.77724793895291</v>
      </c>
      <c r="AB272" s="71" t="s">
        <v>711</v>
      </c>
    </row>
    <row r="273" spans="1:44" x14ac:dyDescent="0.3">
      <c r="D273" s="465"/>
      <c r="E273" s="351" t="s">
        <v>594</v>
      </c>
      <c r="F273" s="535">
        <f t="shared" ref="F273:X273" si="30">G273</f>
        <v>0.82664675013662059</v>
      </c>
      <c r="G273" s="526">
        <f t="shared" si="30"/>
        <v>0.82664675013662059</v>
      </c>
      <c r="H273" s="526">
        <f t="shared" si="30"/>
        <v>0.82664675013662059</v>
      </c>
      <c r="I273" s="526">
        <f t="shared" si="30"/>
        <v>0.82664675013662059</v>
      </c>
      <c r="J273" s="526">
        <f t="shared" si="30"/>
        <v>0.82664675013662059</v>
      </c>
      <c r="K273" s="526">
        <f t="shared" si="30"/>
        <v>0.82664675013662059</v>
      </c>
      <c r="L273" s="526">
        <f t="shared" si="30"/>
        <v>0.82664675013662059</v>
      </c>
      <c r="M273" s="526">
        <f t="shared" si="30"/>
        <v>0.82664675013662059</v>
      </c>
      <c r="N273" s="526">
        <f t="shared" si="30"/>
        <v>0.82664675013662059</v>
      </c>
      <c r="O273" s="526">
        <f t="shared" si="30"/>
        <v>0.82664675013662059</v>
      </c>
      <c r="P273" s="526">
        <f t="shared" si="30"/>
        <v>0.82664675013662059</v>
      </c>
      <c r="Q273" s="526">
        <f t="shared" si="30"/>
        <v>0.82664675013662059</v>
      </c>
      <c r="R273" s="526">
        <f t="shared" si="30"/>
        <v>0.82664675013662059</v>
      </c>
      <c r="S273" s="526">
        <f t="shared" si="30"/>
        <v>0.82664675013662059</v>
      </c>
      <c r="T273" s="526">
        <f t="shared" si="30"/>
        <v>0.82664675013662059</v>
      </c>
      <c r="U273" s="526">
        <f t="shared" si="30"/>
        <v>0.82664675013662059</v>
      </c>
      <c r="V273" s="526">
        <f t="shared" si="30"/>
        <v>0.82664675013662059</v>
      </c>
      <c r="W273" s="526">
        <f t="shared" si="30"/>
        <v>0.82664675013662059</v>
      </c>
      <c r="X273" s="526">
        <f t="shared" si="30"/>
        <v>0.82664675013662059</v>
      </c>
      <c r="Y273" s="527">
        <f>100/Y272</f>
        <v>0.82664675013662059</v>
      </c>
      <c r="Z273" s="526">
        <v>0.8266</v>
      </c>
      <c r="AB273" s="465"/>
      <c r="AC273" s="465"/>
      <c r="AD273" s="465"/>
      <c r="AE273" s="465"/>
      <c r="AF273" s="465"/>
      <c r="AG273" s="465"/>
      <c r="AH273" s="465"/>
      <c r="AI273" s="465"/>
      <c r="AJ273" s="465"/>
      <c r="AK273" s="465"/>
      <c r="AL273" s="465"/>
      <c r="AM273" s="465"/>
      <c r="AN273" s="465"/>
      <c r="AO273" s="465"/>
      <c r="AP273" s="465"/>
      <c r="AQ273" s="465"/>
      <c r="AR273" s="465"/>
    </row>
    <row r="274" spans="1:44" x14ac:dyDescent="0.3">
      <c r="E274" s="528" t="s">
        <v>460</v>
      </c>
      <c r="F274" s="536">
        <f t="shared" ref="F274:Z274" si="31">F273*F272</f>
        <v>82.664675013662062</v>
      </c>
      <c r="G274" s="529">
        <f t="shared" si="31"/>
        <v>81.507369563470789</v>
      </c>
      <c r="H274" s="529">
        <f t="shared" si="31"/>
        <v>83.056009585176739</v>
      </c>
      <c r="I274" s="529">
        <f t="shared" si="31"/>
        <v>82.225449489324973</v>
      </c>
      <c r="J274" s="529">
        <f t="shared" si="31"/>
        <v>81.649871342899687</v>
      </c>
      <c r="K274" s="529">
        <f t="shared" si="31"/>
        <v>82.548019927671575</v>
      </c>
      <c r="L274" s="529">
        <f t="shared" si="31"/>
        <v>86.262680824416805</v>
      </c>
      <c r="M274" s="529">
        <f t="shared" si="31"/>
        <v>88.678035887500471</v>
      </c>
      <c r="N274" s="529">
        <f t="shared" si="31"/>
        <v>92.668547502437988</v>
      </c>
      <c r="O274" s="529">
        <f t="shared" si="31"/>
        <v>96.3752894025355</v>
      </c>
      <c r="P274" s="529">
        <f t="shared" si="31"/>
        <v>104.75993958055609</v>
      </c>
      <c r="Q274" s="529">
        <f t="shared" si="31"/>
        <v>96.06486459536994</v>
      </c>
      <c r="R274" s="529">
        <f t="shared" si="31"/>
        <v>99.811394314589364</v>
      </c>
      <c r="S274" s="529">
        <f t="shared" si="31"/>
        <v>109.59291095741912</v>
      </c>
      <c r="T274" s="529">
        <f t="shared" si="31"/>
        <v>108.16820311497267</v>
      </c>
      <c r="U274" s="529">
        <f t="shared" si="31"/>
        <v>108.49270772431758</v>
      </c>
      <c r="V274" s="529">
        <f t="shared" si="31"/>
        <v>108.92667855521485</v>
      </c>
      <c r="W274" s="529">
        <f t="shared" si="31"/>
        <v>102.17322448479153</v>
      </c>
      <c r="X274" s="529">
        <f t="shared" si="31"/>
        <v>99.108027750247771</v>
      </c>
      <c r="Y274" s="530">
        <f t="shared" si="31"/>
        <v>100</v>
      </c>
      <c r="Z274" s="529">
        <f t="shared" si="31"/>
        <v>104.79407314633848</v>
      </c>
    </row>
    <row r="275" spans="1:44" ht="15" thickBot="1" x14ac:dyDescent="0.35">
      <c r="E275" s="531" t="s">
        <v>582</v>
      </c>
      <c r="F275" s="537">
        <f>F274/100</f>
        <v>0.82664675013662059</v>
      </c>
      <c r="G275" s="532">
        <f>G274/100</f>
        <v>0.81507369563470788</v>
      </c>
      <c r="H275" s="532">
        <f t="shared" ref="H275:Y275" si="32">H274/100</f>
        <v>0.83056009585176738</v>
      </c>
      <c r="I275" s="532">
        <f t="shared" si="32"/>
        <v>0.82225449489324975</v>
      </c>
      <c r="J275" s="532">
        <f t="shared" si="32"/>
        <v>0.81649871342899683</v>
      </c>
      <c r="K275" s="532">
        <f t="shared" si="32"/>
        <v>0.82548019927671579</v>
      </c>
      <c r="L275" s="532">
        <f t="shared" si="32"/>
        <v>0.86262680824416804</v>
      </c>
      <c r="M275" s="532">
        <f t="shared" si="32"/>
        <v>0.88678035887500473</v>
      </c>
      <c r="N275" s="532">
        <f t="shared" si="32"/>
        <v>0.92668547502437992</v>
      </c>
      <c r="O275" s="532">
        <f t="shared" si="32"/>
        <v>0.96375289402535502</v>
      </c>
      <c r="P275" s="532">
        <f t="shared" si="32"/>
        <v>1.0475993958055609</v>
      </c>
      <c r="Q275" s="532">
        <f t="shared" si="32"/>
        <v>0.96064864595369936</v>
      </c>
      <c r="R275" s="532">
        <f t="shared" si="32"/>
        <v>0.99811394314589363</v>
      </c>
      <c r="S275" s="532">
        <f t="shared" si="32"/>
        <v>1.0959291095741912</v>
      </c>
      <c r="T275" s="532">
        <f t="shared" si="32"/>
        <v>1.0816820311497266</v>
      </c>
      <c r="U275" s="532">
        <f t="shared" si="32"/>
        <v>1.0849270772431758</v>
      </c>
      <c r="V275" s="532">
        <f t="shared" si="32"/>
        <v>1.0892667855521485</v>
      </c>
      <c r="W275" s="532">
        <f t="shared" si="32"/>
        <v>1.0217322448479154</v>
      </c>
      <c r="X275" s="532">
        <f t="shared" si="32"/>
        <v>0.99108027750247774</v>
      </c>
      <c r="Y275" s="533">
        <f t="shared" si="32"/>
        <v>1</v>
      </c>
      <c r="Z275" s="532">
        <f>Z274/100</f>
        <v>1.0479407314633848</v>
      </c>
    </row>
    <row r="276" spans="1:44" ht="15" thickBot="1" x14ac:dyDescent="0.35">
      <c r="Z276" s="62"/>
    </row>
    <row r="277" spans="1:44" s="465" customFormat="1" ht="15" thickBot="1" x14ac:dyDescent="0.35">
      <c r="E277" s="538" t="s">
        <v>600</v>
      </c>
      <c r="F277" s="540">
        <f>F267/F275</f>
        <v>183.87539777405382</v>
      </c>
      <c r="G277" s="540">
        <f>G267/G275</f>
        <v>189.92147682971827</v>
      </c>
      <c r="H277" s="540">
        <f t="shared" ref="H277:Z277" si="33">H267/H275</f>
        <v>202.51394310908378</v>
      </c>
      <c r="I277" s="540">
        <f t="shared" si="33"/>
        <v>196.89767706410518</v>
      </c>
      <c r="J277" s="540">
        <f t="shared" si="33"/>
        <v>179.54712921020226</v>
      </c>
      <c r="K277" s="540">
        <f t="shared" si="33"/>
        <v>188.61748608437131</v>
      </c>
      <c r="L277" s="540">
        <f t="shared" si="33"/>
        <v>198.46357470441785</v>
      </c>
      <c r="M277" s="540">
        <f t="shared" si="33"/>
        <v>208.84540139674505</v>
      </c>
      <c r="N277" s="540">
        <f t="shared" si="33"/>
        <v>228.664423594667</v>
      </c>
      <c r="O277" s="540">
        <f t="shared" si="33"/>
        <v>253.38445312473991</v>
      </c>
      <c r="P277" s="540">
        <f t="shared" si="33"/>
        <v>259.45032145708421</v>
      </c>
      <c r="Q277" s="540">
        <f t="shared" si="33"/>
        <v>229.63650750894027</v>
      </c>
      <c r="R277" s="540">
        <f t="shared" si="33"/>
        <v>240.05275314040756</v>
      </c>
      <c r="S277" s="540">
        <f t="shared" si="33"/>
        <v>245.5450791927183</v>
      </c>
      <c r="T277" s="540">
        <f t="shared" si="33"/>
        <v>245.35861034679911</v>
      </c>
      <c r="U277" s="540">
        <f t="shared" si="33"/>
        <v>241.58305705301598</v>
      </c>
      <c r="V277" s="540">
        <f t="shared" si="33"/>
        <v>253.65686686199999</v>
      </c>
      <c r="W277" s="540">
        <f t="shared" si="33"/>
        <v>266.1166869999999</v>
      </c>
      <c r="X277" s="540">
        <f t="shared" si="33"/>
        <v>271.9255</v>
      </c>
      <c r="Y277" s="540">
        <f t="shared" si="33"/>
        <v>283.3</v>
      </c>
      <c r="Z277" s="540">
        <f t="shared" si="33"/>
        <v>304.04295818816792</v>
      </c>
      <c r="AB277" s="71"/>
      <c r="AC277" s="71"/>
      <c r="AD277" s="71"/>
      <c r="AE277" s="71"/>
      <c r="AF277" s="71"/>
      <c r="AG277" s="71"/>
      <c r="AH277" s="71"/>
      <c r="AI277" s="71"/>
      <c r="AJ277" s="71"/>
      <c r="AK277" s="71"/>
      <c r="AL277" s="71"/>
      <c r="AM277" s="71"/>
      <c r="AN277" s="71"/>
      <c r="AO277" s="71"/>
      <c r="AP277" s="71"/>
      <c r="AQ277" s="71"/>
      <c r="AR277" s="71"/>
    </row>
    <row r="278" spans="1:44" ht="15" thickBot="1" x14ac:dyDescent="0.35">
      <c r="E278" s="465"/>
      <c r="F278" s="465"/>
      <c r="G278" s="465"/>
      <c r="H278" s="465"/>
      <c r="I278" s="465"/>
      <c r="J278" s="465"/>
      <c r="K278" s="465"/>
      <c r="L278" s="465"/>
      <c r="M278" s="465"/>
      <c r="N278" s="465"/>
      <c r="O278" s="465"/>
      <c r="P278" s="465"/>
      <c r="Q278" s="465"/>
      <c r="R278" s="465"/>
      <c r="S278" s="465"/>
      <c r="T278" s="465"/>
      <c r="U278" s="465"/>
      <c r="V278" s="465"/>
      <c r="W278" s="465"/>
      <c r="X278" s="465"/>
      <c r="Y278" s="465"/>
      <c r="Z278" s="62"/>
    </row>
    <row r="279" spans="1:44" s="465" customFormat="1" x14ac:dyDescent="0.3">
      <c r="E279" s="511" t="s">
        <v>712</v>
      </c>
      <c r="F279" s="512"/>
      <c r="G279" s="519" t="s">
        <v>713</v>
      </c>
      <c r="H279" s="517"/>
      <c r="I279" s="518" t="s">
        <v>584</v>
      </c>
      <c r="Z279" s="62"/>
      <c r="AB279" s="71"/>
      <c r="AC279" s="71"/>
      <c r="AD279" s="71"/>
      <c r="AE279" s="71"/>
      <c r="AF279" s="71"/>
      <c r="AG279" s="71"/>
      <c r="AH279" s="71"/>
      <c r="AI279" s="71"/>
      <c r="AJ279" s="71"/>
      <c r="AK279" s="71"/>
      <c r="AL279" s="71"/>
      <c r="AM279" s="71"/>
      <c r="AN279" s="71"/>
      <c r="AO279" s="71"/>
      <c r="AP279" s="71"/>
      <c r="AQ279" s="71"/>
      <c r="AR279" s="71"/>
    </row>
    <row r="280" spans="1:44" s="465" customFormat="1" ht="15" thickBot="1" x14ac:dyDescent="0.35">
      <c r="E280" s="507">
        <f>(G277+H277+I277)/3</f>
        <v>196.44436566763576</v>
      </c>
      <c r="F280" s="381"/>
      <c r="G280" s="520">
        <f>(X277+Y277+Z277)/3</f>
        <v>286.42281939605596</v>
      </c>
      <c r="H280" s="381"/>
      <c r="I280" s="515">
        <f>((G280/E280)^(1/17))-1</f>
        <v>2.2429599800198652E-2</v>
      </c>
      <c r="Z280" s="62"/>
    </row>
    <row r="281" spans="1:44" s="465" customFormat="1" x14ac:dyDescent="0.3">
      <c r="A281" s="465" t="s">
        <v>590</v>
      </c>
      <c r="Z281" s="62"/>
      <c r="AB281" s="71"/>
      <c r="AC281" s="71"/>
      <c r="AD281" s="71"/>
      <c r="AE281" s="71"/>
      <c r="AF281" s="71"/>
      <c r="AG281" s="71"/>
      <c r="AH281" s="71"/>
      <c r="AI281" s="71"/>
      <c r="AJ281" s="71"/>
      <c r="AK281" s="71"/>
      <c r="AL281" s="71"/>
      <c r="AM281" s="71"/>
      <c r="AN281" s="71"/>
      <c r="AO281" s="71"/>
      <c r="AP281" s="71"/>
      <c r="AQ281" s="71"/>
      <c r="AR281" s="71"/>
    </row>
    <row r="282" spans="1:44" s="465" customFormat="1" x14ac:dyDescent="0.3">
      <c r="Z282" s="62"/>
    </row>
    <row r="283" spans="1:44" s="465" customFormat="1" x14ac:dyDescent="0.3">
      <c r="E283" s="6"/>
      <c r="Z283" s="71"/>
    </row>
    <row r="284" spans="1:44" x14ac:dyDescent="0.3">
      <c r="C284" s="465"/>
      <c r="AB284" s="465"/>
      <c r="AC284" s="465"/>
      <c r="AD284" s="465"/>
      <c r="AE284" s="465"/>
      <c r="AF284" s="465"/>
      <c r="AG284" s="465"/>
      <c r="AH284" s="465"/>
      <c r="AI284" s="465"/>
      <c r="AJ284" s="465"/>
      <c r="AK284" s="465"/>
      <c r="AL284" s="465"/>
      <c r="AM284" s="465"/>
      <c r="AN284" s="465"/>
      <c r="AO284" s="465"/>
      <c r="AP284" s="465"/>
      <c r="AQ284" s="465"/>
      <c r="AR284" s="465"/>
    </row>
    <row r="285" spans="1:44" ht="21" x14ac:dyDescent="0.4">
      <c r="A285" s="563" t="s">
        <v>633</v>
      </c>
      <c r="C285" s="465"/>
      <c r="AB285" s="465"/>
      <c r="AC285" s="465"/>
      <c r="AD285" s="465"/>
      <c r="AE285" s="465"/>
      <c r="AF285" s="465"/>
      <c r="AG285" s="465"/>
      <c r="AH285" s="465"/>
      <c r="AI285" s="465"/>
      <c r="AJ285" s="465"/>
      <c r="AK285" s="465"/>
      <c r="AL285" s="465"/>
      <c r="AM285" s="465"/>
      <c r="AN285" s="465"/>
      <c r="AO285" s="465"/>
      <c r="AP285" s="465"/>
      <c r="AQ285" s="465"/>
      <c r="AR285" s="465"/>
    </row>
    <row r="286" spans="1:44" ht="15" thickBot="1" x14ac:dyDescent="0.35">
      <c r="A286" s="71" t="s">
        <v>605</v>
      </c>
      <c r="B286" s="92" t="s">
        <v>577</v>
      </c>
      <c r="C286" s="465"/>
      <c r="AB286" s="465"/>
      <c r="AC286" s="465"/>
      <c r="AD286" s="465"/>
      <c r="AE286" s="465"/>
      <c r="AF286" s="465"/>
      <c r="AG286" s="465"/>
      <c r="AH286" s="465"/>
      <c r="AI286" s="465"/>
      <c r="AJ286" s="465"/>
      <c r="AK286" s="465"/>
      <c r="AL286" s="465"/>
      <c r="AM286" s="465"/>
      <c r="AN286" s="465"/>
      <c r="AO286" s="465"/>
      <c r="AP286" s="465"/>
      <c r="AQ286" s="465"/>
      <c r="AR286" s="465"/>
    </row>
    <row r="287" spans="1:44" ht="15" thickBot="1" x14ac:dyDescent="0.35">
      <c r="A287" s="547"/>
      <c r="B287" s="564">
        <f>Y288/100</f>
        <v>1.3999999999999999E-2</v>
      </c>
      <c r="C287" s="465"/>
      <c r="E287" s="504">
        <v>1998</v>
      </c>
      <c r="F287" s="509">
        <v>1999</v>
      </c>
      <c r="G287" s="510">
        <v>2000</v>
      </c>
      <c r="H287" s="504">
        <v>2001</v>
      </c>
      <c r="I287" s="509">
        <v>2002</v>
      </c>
      <c r="J287" s="510">
        <v>2003</v>
      </c>
      <c r="K287" s="504">
        <v>2004</v>
      </c>
      <c r="L287" s="509">
        <v>2005</v>
      </c>
      <c r="M287" s="510">
        <v>2006</v>
      </c>
      <c r="N287" s="504">
        <v>2007</v>
      </c>
      <c r="O287" s="509">
        <v>2008</v>
      </c>
      <c r="P287" s="510">
        <v>2009</v>
      </c>
      <c r="Q287" s="504">
        <v>2010</v>
      </c>
      <c r="R287" s="509">
        <v>2011</v>
      </c>
      <c r="S287" s="510">
        <v>2012</v>
      </c>
      <c r="T287" s="504">
        <v>2013</v>
      </c>
      <c r="U287" s="509">
        <v>2014</v>
      </c>
      <c r="V287" s="510">
        <v>2015</v>
      </c>
      <c r="W287" s="504">
        <v>2016</v>
      </c>
      <c r="X287" s="504">
        <v>2017</v>
      </c>
      <c r="Y287" s="510">
        <v>2018</v>
      </c>
      <c r="Z287" s="504"/>
      <c r="AA287" s="510" t="s">
        <v>714</v>
      </c>
    </row>
    <row r="288" spans="1:44" ht="15" thickBot="1" x14ac:dyDescent="0.35">
      <c r="C288" s="465"/>
      <c r="E288" s="288">
        <v>3.3</v>
      </c>
      <c r="F288" s="381">
        <v>3.2</v>
      </c>
      <c r="G288" s="381">
        <v>3.5</v>
      </c>
      <c r="H288" s="381">
        <v>2.8</v>
      </c>
      <c r="I288" s="381">
        <v>2.5</v>
      </c>
      <c r="J288" s="381">
        <v>3.3</v>
      </c>
      <c r="K288" s="381">
        <v>2.2999999999999998</v>
      </c>
      <c r="L288" s="381">
        <v>3.1</v>
      </c>
      <c r="M288" s="381">
        <v>2.5</v>
      </c>
      <c r="N288" s="381">
        <v>2.5</v>
      </c>
      <c r="O288" s="381">
        <v>-0.3</v>
      </c>
      <c r="P288" s="381">
        <v>-4.2</v>
      </c>
      <c r="Q288" s="381">
        <v>1.7</v>
      </c>
      <c r="R288" s="381">
        <v>1.6</v>
      </c>
      <c r="S288" s="381">
        <v>1.4</v>
      </c>
      <c r="T288" s="381">
        <v>2</v>
      </c>
      <c r="U288" s="381">
        <v>2.9</v>
      </c>
      <c r="V288" s="381">
        <v>2.2999999999999998</v>
      </c>
      <c r="W288" s="381">
        <v>1.8</v>
      </c>
      <c r="X288" s="381">
        <v>1.8</v>
      </c>
      <c r="Y288" s="350">
        <v>1.4</v>
      </c>
      <c r="Z288" s="381"/>
      <c r="AA288" s="350">
        <f>SUM(F288:Y288)/20</f>
        <v>1.9049999999999998</v>
      </c>
    </row>
    <row r="289" spans="1:44" ht="15" thickBot="1" x14ac:dyDescent="0.35">
      <c r="A289" s="92" t="s">
        <v>179</v>
      </c>
      <c r="C289" s="465"/>
    </row>
    <row r="290" spans="1:44" s="6" customFormat="1" ht="15" thickBot="1" x14ac:dyDescent="0.35">
      <c r="A290" s="6" t="s">
        <v>607</v>
      </c>
      <c r="E290" s="550" t="s">
        <v>606</v>
      </c>
      <c r="F290" s="516" t="s">
        <v>608</v>
      </c>
      <c r="G290" s="516" t="s">
        <v>609</v>
      </c>
      <c r="H290" s="516" t="s">
        <v>612</v>
      </c>
      <c r="I290" s="516" t="s">
        <v>613</v>
      </c>
      <c r="J290" s="516" t="s">
        <v>614</v>
      </c>
      <c r="K290" s="516" t="s">
        <v>615</v>
      </c>
      <c r="L290" s="516" t="s">
        <v>616</v>
      </c>
      <c r="M290" s="516" t="s">
        <v>617</v>
      </c>
      <c r="N290" s="516" t="s">
        <v>618</v>
      </c>
      <c r="O290" s="516" t="s">
        <v>619</v>
      </c>
      <c r="P290" s="518" t="s">
        <v>620</v>
      </c>
      <c r="AB290" s="504"/>
      <c r="AC290" s="71"/>
      <c r="AD290" s="71"/>
      <c r="AE290" s="71"/>
      <c r="AF290" s="71"/>
      <c r="AG290" s="71"/>
      <c r="AH290" s="71"/>
      <c r="AI290" s="71"/>
      <c r="AJ290" s="71"/>
      <c r="AK290" s="71"/>
      <c r="AL290" s="71"/>
      <c r="AM290" s="71"/>
      <c r="AN290" s="71"/>
      <c r="AO290" s="71"/>
      <c r="AP290" s="71"/>
      <c r="AQ290" s="71"/>
      <c r="AR290" s="71"/>
    </row>
    <row r="291" spans="1:44" ht="15" thickBot="1" x14ac:dyDescent="0.35">
      <c r="A291" s="71" t="s">
        <v>610</v>
      </c>
      <c r="C291" s="465"/>
      <c r="E291" s="292">
        <v>1.6659999999999999</v>
      </c>
      <c r="F291" s="44">
        <v>1.655</v>
      </c>
      <c r="G291" s="44">
        <v>1.6859999999999999</v>
      </c>
      <c r="H291" s="44">
        <v>1.6930000000000001</v>
      </c>
      <c r="I291" s="44">
        <v>1.6659999999999999</v>
      </c>
      <c r="J291" s="44">
        <v>1.675</v>
      </c>
      <c r="K291" s="44">
        <v>1.66</v>
      </c>
      <c r="L291" s="44">
        <v>1.663</v>
      </c>
      <c r="M291" s="44">
        <v>1.7070000000000001</v>
      </c>
      <c r="N291" s="44">
        <v>1.7190000000000001</v>
      </c>
      <c r="O291" s="44">
        <v>1.6679999999999999</v>
      </c>
      <c r="P291" s="349">
        <v>1.6870000000000001</v>
      </c>
      <c r="AB291" s="381"/>
    </row>
    <row r="292" spans="1:44" ht="15" thickBot="1" x14ac:dyDescent="0.35">
      <c r="A292" s="71" t="s">
        <v>611</v>
      </c>
      <c r="E292" s="531">
        <v>1.6140000000000001</v>
      </c>
      <c r="F292" s="381">
        <v>1.6240000000000001</v>
      </c>
      <c r="G292" s="548">
        <v>1.637</v>
      </c>
      <c r="H292" s="548">
        <v>1.66</v>
      </c>
      <c r="I292" s="381">
        <v>1.621</v>
      </c>
      <c r="J292" s="548">
        <v>1.629</v>
      </c>
      <c r="K292" s="548">
        <v>1.63</v>
      </c>
      <c r="L292" s="381">
        <v>1.6160000000000001</v>
      </c>
      <c r="M292" s="548">
        <v>1.657</v>
      </c>
      <c r="N292" s="548">
        <v>1.6679999999999999</v>
      </c>
      <c r="O292" s="381">
        <v>1.651</v>
      </c>
      <c r="P292" s="549">
        <v>1.6519999999999999</v>
      </c>
    </row>
    <row r="293" spans="1:44" ht="15" thickBot="1" x14ac:dyDescent="0.35">
      <c r="A293" s="71" t="s">
        <v>622</v>
      </c>
      <c r="E293" s="541">
        <f>(E291+E292)/2</f>
        <v>1.6400000000000001</v>
      </c>
      <c r="F293" s="539">
        <f>(F291+F292)/2</f>
        <v>1.6395</v>
      </c>
      <c r="G293" s="539">
        <f t="shared" ref="G293:P293" si="34">(G291+G292)/2</f>
        <v>1.6615</v>
      </c>
      <c r="H293" s="539">
        <f t="shared" si="34"/>
        <v>1.6764999999999999</v>
      </c>
      <c r="I293" s="539">
        <f t="shared" si="34"/>
        <v>1.6435</v>
      </c>
      <c r="J293" s="539">
        <f t="shared" si="34"/>
        <v>1.6520000000000001</v>
      </c>
      <c r="K293" s="539">
        <f t="shared" si="34"/>
        <v>1.645</v>
      </c>
      <c r="L293" s="539">
        <f t="shared" si="34"/>
        <v>1.6395</v>
      </c>
      <c r="M293" s="539">
        <f t="shared" si="34"/>
        <v>1.6819999999999999</v>
      </c>
      <c r="N293" s="539">
        <f t="shared" si="34"/>
        <v>1.6935</v>
      </c>
      <c r="O293" s="539">
        <f t="shared" si="34"/>
        <v>1.6595</v>
      </c>
      <c r="P293" s="503">
        <f t="shared" si="34"/>
        <v>1.6695</v>
      </c>
      <c r="AB293" s="6"/>
      <c r="AC293" s="6"/>
      <c r="AD293" s="6"/>
      <c r="AE293" s="6"/>
      <c r="AF293" s="6"/>
      <c r="AG293" s="6"/>
      <c r="AH293" s="6"/>
      <c r="AI293" s="6"/>
      <c r="AJ293" s="6"/>
      <c r="AK293" s="6"/>
      <c r="AL293" s="6"/>
      <c r="AM293" s="6"/>
      <c r="AN293" s="6"/>
      <c r="AO293" s="6"/>
      <c r="AP293" s="6"/>
      <c r="AQ293" s="6"/>
      <c r="AR293" s="6"/>
    </row>
    <row r="294" spans="1:44" x14ac:dyDescent="0.3">
      <c r="A294" s="71" t="s">
        <v>621</v>
      </c>
      <c r="B294" s="71">
        <f>SUM(E293:P293)/12</f>
        <v>1.6585000000000001</v>
      </c>
    </row>
    <row r="296" spans="1:44" ht="15" thickBot="1" x14ac:dyDescent="0.35"/>
    <row r="297" spans="1:44" x14ac:dyDescent="0.3">
      <c r="A297" s="6" t="s">
        <v>623</v>
      </c>
      <c r="E297" s="552">
        <v>1998</v>
      </c>
      <c r="F297" s="379" t="s">
        <v>1</v>
      </c>
      <c r="G297" s="379" t="s">
        <v>2</v>
      </c>
      <c r="H297" s="379" t="s">
        <v>3</v>
      </c>
      <c r="I297" s="379" t="s">
        <v>4</v>
      </c>
      <c r="J297" s="379" t="s">
        <v>5</v>
      </c>
      <c r="K297" s="379" t="s">
        <v>6</v>
      </c>
      <c r="L297" s="379" t="s">
        <v>7</v>
      </c>
      <c r="M297" s="379" t="s">
        <v>8</v>
      </c>
      <c r="N297" s="379" t="s">
        <v>9</v>
      </c>
      <c r="O297" s="379" t="s">
        <v>10</v>
      </c>
      <c r="P297" s="379" t="s">
        <v>11</v>
      </c>
      <c r="Q297" s="379" t="s">
        <v>12</v>
      </c>
      <c r="R297" s="379" t="s">
        <v>13</v>
      </c>
      <c r="S297" s="379" t="s">
        <v>14</v>
      </c>
      <c r="T297" s="379" t="s">
        <v>15</v>
      </c>
      <c r="U297" s="379" t="s">
        <v>16</v>
      </c>
      <c r="V297" s="379" t="s">
        <v>17</v>
      </c>
      <c r="W297" s="379" t="s">
        <v>18</v>
      </c>
      <c r="X297" s="379">
        <v>2017</v>
      </c>
      <c r="Y297" s="638">
        <v>2018</v>
      </c>
    </row>
    <row r="298" spans="1:44" x14ac:dyDescent="0.3">
      <c r="A298" s="71" t="s">
        <v>624</v>
      </c>
      <c r="E298" s="551">
        <v>100111</v>
      </c>
      <c r="F298" s="61">
        <v>102352</v>
      </c>
      <c r="G298" s="61">
        <v>112834</v>
      </c>
      <c r="H298" s="61">
        <v>113941</v>
      </c>
      <c r="I298" s="551">
        <v>114766</v>
      </c>
      <c r="J298" s="61">
        <v>111623</v>
      </c>
      <c r="K298" s="61">
        <v>112324</v>
      </c>
      <c r="L298" s="61">
        <v>121920</v>
      </c>
      <c r="M298" s="551">
        <v>153387</v>
      </c>
      <c r="N298" s="61">
        <v>128176</v>
      </c>
      <c r="O298" s="61">
        <v>142404</v>
      </c>
      <c r="P298" s="61">
        <v>125664</v>
      </c>
      <c r="Q298" s="551">
        <v>144508</v>
      </c>
      <c r="R298" s="61">
        <v>162883</v>
      </c>
      <c r="S298" s="61">
        <v>152501</v>
      </c>
      <c r="T298" s="61">
        <v>151223</v>
      </c>
      <c r="U298" s="551">
        <v>146872</v>
      </c>
      <c r="V298" s="61">
        <v>133664</v>
      </c>
      <c r="W298" s="61">
        <v>142705</v>
      </c>
      <c r="X298" s="61">
        <v>164081</v>
      </c>
      <c r="Y298" s="639">
        <f>172211</f>
        <v>172211</v>
      </c>
    </row>
    <row r="299" spans="1:44" s="465" customFormat="1" x14ac:dyDescent="0.3">
      <c r="A299" s="465" t="s">
        <v>625</v>
      </c>
      <c r="E299" s="556">
        <f>E298/1000</f>
        <v>100.111</v>
      </c>
      <c r="F299" s="557">
        <f>F298/1000</f>
        <v>102.352</v>
      </c>
      <c r="G299" s="557">
        <f t="shared" ref="G299:X299" si="35">G298/1000</f>
        <v>112.834</v>
      </c>
      <c r="H299" s="557">
        <f t="shared" si="35"/>
        <v>113.941</v>
      </c>
      <c r="I299" s="557">
        <f t="shared" si="35"/>
        <v>114.76600000000001</v>
      </c>
      <c r="J299" s="557">
        <f t="shared" si="35"/>
        <v>111.623</v>
      </c>
      <c r="K299" s="557">
        <f t="shared" si="35"/>
        <v>112.324</v>
      </c>
      <c r="L299" s="557">
        <f t="shared" si="35"/>
        <v>121.92</v>
      </c>
      <c r="M299" s="557">
        <f t="shared" si="35"/>
        <v>153.387</v>
      </c>
      <c r="N299" s="557">
        <f t="shared" si="35"/>
        <v>128.17599999999999</v>
      </c>
      <c r="O299" s="557">
        <f t="shared" si="35"/>
        <v>142.404</v>
      </c>
      <c r="P299" s="557">
        <f t="shared" si="35"/>
        <v>125.664</v>
      </c>
      <c r="Q299" s="557">
        <f t="shared" si="35"/>
        <v>144.50800000000001</v>
      </c>
      <c r="R299" s="557">
        <f t="shared" si="35"/>
        <v>162.88300000000001</v>
      </c>
      <c r="S299" s="557">
        <f t="shared" si="35"/>
        <v>152.501</v>
      </c>
      <c r="T299" s="557">
        <f t="shared" si="35"/>
        <v>151.22300000000001</v>
      </c>
      <c r="U299" s="557">
        <f t="shared" si="35"/>
        <v>146.87200000000001</v>
      </c>
      <c r="V299" s="557">
        <f t="shared" si="35"/>
        <v>133.66399999999999</v>
      </c>
      <c r="W299" s="557">
        <f t="shared" si="35"/>
        <v>142.70500000000001</v>
      </c>
      <c r="X299" s="557">
        <f t="shared" si="35"/>
        <v>164.08099999999999</v>
      </c>
      <c r="Y299" s="640">
        <f>Y298/1000</f>
        <v>172.21100000000001</v>
      </c>
      <c r="AB299" s="71"/>
      <c r="AC299" s="71"/>
      <c r="AD299" s="71"/>
      <c r="AE299" s="71"/>
      <c r="AF299" s="71"/>
      <c r="AG299" s="71"/>
      <c r="AH299" s="71"/>
      <c r="AI299" s="71"/>
      <c r="AJ299" s="71"/>
      <c r="AK299" s="71"/>
      <c r="AL299" s="71"/>
      <c r="AM299" s="71"/>
      <c r="AN299" s="71"/>
      <c r="AO299" s="71"/>
      <c r="AP299" s="71"/>
      <c r="AQ299" s="71"/>
      <c r="AR299" s="71"/>
    </row>
    <row r="300" spans="1:44" s="465" customFormat="1" x14ac:dyDescent="0.3">
      <c r="A300" s="465" t="s">
        <v>626</v>
      </c>
      <c r="E300" s="551">
        <v>152</v>
      </c>
      <c r="F300" s="61">
        <v>154.80000000000001</v>
      </c>
      <c r="G300" s="61">
        <v>168.2</v>
      </c>
      <c r="H300" s="61">
        <v>161.9</v>
      </c>
      <c r="I300" s="61">
        <v>146.6</v>
      </c>
      <c r="J300" s="61">
        <v>155.69999999999999</v>
      </c>
      <c r="K300" s="61">
        <v>171.2</v>
      </c>
      <c r="L300" s="61">
        <v>185.2</v>
      </c>
      <c r="M300" s="61">
        <v>211.9</v>
      </c>
      <c r="N300" s="61">
        <v>244.2</v>
      </c>
      <c r="O300" s="61">
        <v>271.8</v>
      </c>
      <c r="P300" s="61">
        <v>220.6</v>
      </c>
      <c r="Q300" s="61">
        <v>239.6</v>
      </c>
      <c r="R300" s="61">
        <v>269.10000000000002</v>
      </c>
      <c r="S300" s="61">
        <v>265.39999999999998</v>
      </c>
      <c r="T300" s="61">
        <v>262.10000000000002</v>
      </c>
      <c r="U300" s="61">
        <v>276.3</v>
      </c>
      <c r="V300" s="61">
        <v>271.89999999999998</v>
      </c>
      <c r="W300" s="61">
        <v>269.5</v>
      </c>
      <c r="X300" s="61">
        <v>283.3</v>
      </c>
      <c r="Y300" s="639">
        <f>318.6</f>
        <v>318.60000000000002</v>
      </c>
      <c r="AB300" s="71"/>
      <c r="AC300" s="71"/>
      <c r="AD300" s="71"/>
      <c r="AE300" s="71"/>
      <c r="AF300" s="71"/>
      <c r="AG300" s="71"/>
      <c r="AH300" s="71"/>
      <c r="AI300" s="71"/>
      <c r="AJ300" s="71"/>
      <c r="AK300" s="71"/>
      <c r="AL300" s="71"/>
      <c r="AM300" s="71"/>
      <c r="AN300" s="71"/>
      <c r="AO300" s="71"/>
      <c r="AP300" s="71"/>
      <c r="AQ300" s="71"/>
      <c r="AR300" s="71"/>
    </row>
    <row r="301" spans="1:44" s="465" customFormat="1" x14ac:dyDescent="0.3">
      <c r="A301" s="465" t="s">
        <v>642</v>
      </c>
      <c r="E301" s="554">
        <v>1.6585000000000001</v>
      </c>
      <c r="F301" s="17">
        <v>1.6180000000000001</v>
      </c>
      <c r="G301" s="17">
        <v>1.5149999999999999</v>
      </c>
      <c r="H301" s="17">
        <v>1.44</v>
      </c>
      <c r="I301" s="17">
        <v>1.5</v>
      </c>
      <c r="J301" s="17">
        <v>1.635</v>
      </c>
      <c r="K301" s="17">
        <v>1.833</v>
      </c>
      <c r="L301" s="17">
        <v>1.82</v>
      </c>
      <c r="M301" s="17">
        <v>1.843</v>
      </c>
      <c r="N301" s="17">
        <v>2.0019999999999998</v>
      </c>
      <c r="O301" s="17">
        <v>1.855</v>
      </c>
      <c r="P301" s="17">
        <v>1.5649999999999999</v>
      </c>
      <c r="Q301" s="17">
        <v>1.546</v>
      </c>
      <c r="R301" s="17">
        <v>1.6040000000000001</v>
      </c>
      <c r="S301" s="17">
        <v>1.585</v>
      </c>
      <c r="T301" s="17">
        <v>1.5649999999999999</v>
      </c>
      <c r="U301" s="17">
        <v>1.6479999999999999</v>
      </c>
      <c r="V301" s="17">
        <v>1.5289999999999999</v>
      </c>
      <c r="W301" s="17">
        <v>1.3560000000000001</v>
      </c>
      <c r="X301" s="17">
        <v>1.2889999999999999</v>
      </c>
      <c r="Y301" s="641">
        <v>1.33</v>
      </c>
      <c r="AB301" s="71"/>
      <c r="AC301" s="71"/>
      <c r="AD301" s="71"/>
      <c r="AE301" s="71"/>
      <c r="AF301" s="71"/>
      <c r="AG301" s="71"/>
      <c r="AH301" s="71"/>
      <c r="AI301" s="71"/>
      <c r="AJ301" s="71"/>
      <c r="AK301" s="71"/>
      <c r="AL301" s="71"/>
      <c r="AM301" s="71"/>
      <c r="AN301" s="71"/>
      <c r="AO301" s="71"/>
      <c r="AP301" s="71"/>
      <c r="AQ301" s="71"/>
      <c r="AR301" s="71"/>
    </row>
    <row r="302" spans="1:44" ht="15" thickBot="1" x14ac:dyDescent="0.35">
      <c r="A302" s="71" t="s">
        <v>627</v>
      </c>
      <c r="E302" s="558">
        <f>F267/B294</f>
        <v>91.649080494422662</v>
      </c>
      <c r="F302" s="559">
        <f t="shared" ref="F302:K302" si="36">F300/F301</f>
        <v>95.673671199011125</v>
      </c>
      <c r="G302" s="559">
        <f t="shared" si="36"/>
        <v>111.02310231023102</v>
      </c>
      <c r="H302" s="559">
        <f t="shared" si="36"/>
        <v>112.43055555555556</v>
      </c>
      <c r="I302" s="559">
        <f t="shared" si="36"/>
        <v>97.733333333333334</v>
      </c>
      <c r="J302" s="559">
        <f t="shared" si="36"/>
        <v>95.229357798165125</v>
      </c>
      <c r="K302" s="559">
        <f t="shared" si="36"/>
        <v>93.398799781778507</v>
      </c>
      <c r="L302" s="559">
        <f t="shared" ref="L302:Y302" si="37">L300/L301</f>
        <v>101.75824175824175</v>
      </c>
      <c r="M302" s="559">
        <f t="shared" si="37"/>
        <v>114.97558328811721</v>
      </c>
      <c r="N302" s="559">
        <f t="shared" si="37"/>
        <v>121.97802197802199</v>
      </c>
      <c r="O302" s="559">
        <f t="shared" si="37"/>
        <v>146.52291105121296</v>
      </c>
      <c r="P302" s="559">
        <f t="shared" si="37"/>
        <v>140.95846645367413</v>
      </c>
      <c r="Q302" s="559">
        <f t="shared" si="37"/>
        <v>154.98059508408795</v>
      </c>
      <c r="R302" s="559">
        <f t="shared" si="37"/>
        <v>167.76807980049875</v>
      </c>
      <c r="S302" s="559">
        <f t="shared" si="37"/>
        <v>167.44479495268138</v>
      </c>
      <c r="T302" s="559">
        <f t="shared" si="37"/>
        <v>167.47603833865816</v>
      </c>
      <c r="U302" s="559">
        <f t="shared" si="37"/>
        <v>167.65776699029126</v>
      </c>
      <c r="V302" s="559">
        <f t="shared" si="37"/>
        <v>177.8286461739699</v>
      </c>
      <c r="W302" s="559">
        <f t="shared" si="37"/>
        <v>198.74631268436576</v>
      </c>
      <c r="X302" s="559">
        <f t="shared" si="37"/>
        <v>219.78277734678048</v>
      </c>
      <c r="Y302" s="642">
        <f t="shared" si="37"/>
        <v>239.54887218045113</v>
      </c>
      <c r="AB302" s="465"/>
      <c r="AC302" s="465"/>
      <c r="AD302" s="465"/>
      <c r="AE302" s="465"/>
      <c r="AF302" s="465"/>
      <c r="AG302" s="465"/>
      <c r="AH302" s="465"/>
      <c r="AI302" s="465"/>
      <c r="AJ302" s="465"/>
      <c r="AK302" s="465"/>
      <c r="AL302" s="465"/>
      <c r="AM302" s="465"/>
      <c r="AN302" s="465"/>
      <c r="AO302" s="465"/>
      <c r="AP302" s="465"/>
      <c r="AQ302" s="465"/>
      <c r="AR302" s="465"/>
    </row>
    <row r="303" spans="1:44" x14ac:dyDescent="0.3">
      <c r="AB303" s="465"/>
      <c r="AC303" s="465"/>
      <c r="AD303" s="465"/>
      <c r="AE303" s="465"/>
      <c r="AF303" s="465"/>
      <c r="AG303" s="465"/>
      <c r="AH303" s="465"/>
      <c r="AI303" s="465"/>
      <c r="AJ303" s="465"/>
      <c r="AK303" s="465"/>
      <c r="AL303" s="465"/>
      <c r="AM303" s="465"/>
      <c r="AN303" s="465"/>
      <c r="AO303" s="465"/>
      <c r="AP303" s="465"/>
      <c r="AQ303" s="465"/>
      <c r="AR303" s="465"/>
    </row>
    <row r="304" spans="1:44" ht="15" thickBot="1" x14ac:dyDescent="0.35">
      <c r="A304" s="71" t="s">
        <v>628</v>
      </c>
      <c r="AB304" s="465"/>
      <c r="AC304" s="465"/>
      <c r="AD304" s="465"/>
      <c r="AE304" s="465"/>
      <c r="AF304" s="465"/>
      <c r="AG304" s="465"/>
      <c r="AH304" s="465"/>
      <c r="AI304" s="465"/>
      <c r="AJ304" s="465"/>
      <c r="AK304" s="465"/>
      <c r="AL304" s="465"/>
      <c r="AM304" s="465"/>
      <c r="AN304" s="465"/>
      <c r="AO304" s="465"/>
      <c r="AP304" s="465"/>
      <c r="AQ304" s="465"/>
      <c r="AR304" s="465"/>
    </row>
    <row r="305" spans="1:25" x14ac:dyDescent="0.3">
      <c r="D305" s="71" t="s">
        <v>48</v>
      </c>
      <c r="E305" s="552">
        <v>1998</v>
      </c>
      <c r="F305" s="379" t="s">
        <v>1</v>
      </c>
      <c r="G305" s="379" t="s">
        <v>2</v>
      </c>
      <c r="H305" s="379" t="s">
        <v>3</v>
      </c>
      <c r="I305" s="379" t="s">
        <v>4</v>
      </c>
      <c r="J305" s="379" t="s">
        <v>5</v>
      </c>
      <c r="K305" s="379" t="s">
        <v>6</v>
      </c>
      <c r="L305" s="379" t="s">
        <v>7</v>
      </c>
      <c r="M305" s="379" t="s">
        <v>8</v>
      </c>
      <c r="N305" s="379" t="s">
        <v>9</v>
      </c>
      <c r="O305" s="379" t="s">
        <v>10</v>
      </c>
      <c r="P305" s="379" t="s">
        <v>11</v>
      </c>
      <c r="Q305" s="379" t="s">
        <v>12</v>
      </c>
      <c r="R305" s="379" t="s">
        <v>13</v>
      </c>
      <c r="S305" s="379" t="s">
        <v>14</v>
      </c>
      <c r="T305" s="379" t="s">
        <v>15</v>
      </c>
      <c r="U305" s="379" t="s">
        <v>16</v>
      </c>
      <c r="V305" s="379" t="s">
        <v>17</v>
      </c>
      <c r="W305" s="379" t="s">
        <v>18</v>
      </c>
      <c r="X305" s="553">
        <v>2017</v>
      </c>
      <c r="Y305" s="638">
        <v>2018</v>
      </c>
    </row>
    <row r="306" spans="1:25" x14ac:dyDescent="0.3">
      <c r="A306" s="71" t="s">
        <v>629</v>
      </c>
      <c r="D306" s="71" t="s">
        <v>631</v>
      </c>
      <c r="E306" s="292">
        <f>E299</f>
        <v>100.111</v>
      </c>
      <c r="F306" s="44">
        <f>F299</f>
        <v>102.352</v>
      </c>
      <c r="G306" s="44">
        <f t="shared" ref="G306:X306" si="38">G299</f>
        <v>112.834</v>
      </c>
      <c r="H306" s="44">
        <f t="shared" si="38"/>
        <v>113.941</v>
      </c>
      <c r="I306" s="44">
        <f t="shared" si="38"/>
        <v>114.76600000000001</v>
      </c>
      <c r="J306" s="44">
        <f t="shared" si="38"/>
        <v>111.623</v>
      </c>
      <c r="K306" s="44">
        <f t="shared" si="38"/>
        <v>112.324</v>
      </c>
      <c r="L306" s="44">
        <f t="shared" si="38"/>
        <v>121.92</v>
      </c>
      <c r="M306" s="44">
        <f t="shared" si="38"/>
        <v>153.387</v>
      </c>
      <c r="N306" s="44">
        <f t="shared" si="38"/>
        <v>128.17599999999999</v>
      </c>
      <c r="O306" s="44">
        <f t="shared" si="38"/>
        <v>142.404</v>
      </c>
      <c r="P306" s="44">
        <f t="shared" si="38"/>
        <v>125.664</v>
      </c>
      <c r="Q306" s="44">
        <f t="shared" si="38"/>
        <v>144.50800000000001</v>
      </c>
      <c r="R306" s="44">
        <f t="shared" si="38"/>
        <v>162.88300000000001</v>
      </c>
      <c r="S306" s="44">
        <f t="shared" si="38"/>
        <v>152.501</v>
      </c>
      <c r="T306" s="44">
        <f t="shared" si="38"/>
        <v>151.22300000000001</v>
      </c>
      <c r="U306" s="44">
        <f t="shared" si="38"/>
        <v>146.87200000000001</v>
      </c>
      <c r="V306" s="44">
        <f t="shared" si="38"/>
        <v>133.66399999999999</v>
      </c>
      <c r="W306" s="44">
        <f t="shared" si="38"/>
        <v>142.70500000000001</v>
      </c>
      <c r="X306" s="349">
        <f t="shared" si="38"/>
        <v>164.08099999999999</v>
      </c>
      <c r="Y306" s="544">
        <f>Y299</f>
        <v>172.21100000000001</v>
      </c>
    </row>
    <row r="307" spans="1:25" ht="15" thickBot="1" x14ac:dyDescent="0.35">
      <c r="A307" s="71" t="s">
        <v>630</v>
      </c>
      <c r="D307" s="71" t="s">
        <v>632</v>
      </c>
      <c r="E307" s="507">
        <f>E302</f>
        <v>91.649080494422662</v>
      </c>
      <c r="F307" s="508">
        <f>F302</f>
        <v>95.673671199011125</v>
      </c>
      <c r="G307" s="508">
        <f t="shared" ref="G307:X307" si="39">G302</f>
        <v>111.02310231023102</v>
      </c>
      <c r="H307" s="508">
        <f t="shared" si="39"/>
        <v>112.43055555555556</v>
      </c>
      <c r="I307" s="508">
        <f t="shared" si="39"/>
        <v>97.733333333333334</v>
      </c>
      <c r="J307" s="508">
        <f t="shared" si="39"/>
        <v>95.229357798165125</v>
      </c>
      <c r="K307" s="508">
        <f t="shared" si="39"/>
        <v>93.398799781778507</v>
      </c>
      <c r="L307" s="508">
        <f t="shared" si="39"/>
        <v>101.75824175824175</v>
      </c>
      <c r="M307" s="508">
        <f t="shared" si="39"/>
        <v>114.97558328811721</v>
      </c>
      <c r="N307" s="508">
        <f t="shared" si="39"/>
        <v>121.97802197802199</v>
      </c>
      <c r="O307" s="508">
        <f t="shared" si="39"/>
        <v>146.52291105121296</v>
      </c>
      <c r="P307" s="508">
        <f t="shared" si="39"/>
        <v>140.95846645367413</v>
      </c>
      <c r="Q307" s="508">
        <f t="shared" si="39"/>
        <v>154.98059508408795</v>
      </c>
      <c r="R307" s="508">
        <f t="shared" si="39"/>
        <v>167.76807980049875</v>
      </c>
      <c r="S307" s="508">
        <f t="shared" si="39"/>
        <v>167.44479495268138</v>
      </c>
      <c r="T307" s="508">
        <f t="shared" si="39"/>
        <v>167.47603833865816</v>
      </c>
      <c r="U307" s="508">
        <f t="shared" si="39"/>
        <v>167.65776699029126</v>
      </c>
      <c r="V307" s="508">
        <f t="shared" si="39"/>
        <v>177.8286461739699</v>
      </c>
      <c r="W307" s="508">
        <f t="shared" si="39"/>
        <v>198.74631268436576</v>
      </c>
      <c r="X307" s="555">
        <f t="shared" si="39"/>
        <v>219.78277734678048</v>
      </c>
      <c r="Y307" s="643">
        <f>Y302</f>
        <v>239.54887218045113</v>
      </c>
    </row>
    <row r="310" spans="1:25" x14ac:dyDescent="0.3">
      <c r="U310" s="71" t="s">
        <v>634</v>
      </c>
      <c r="W310" s="71">
        <f>SUM(W306:Y306)/3</f>
        <v>159.66566666666668</v>
      </c>
    </row>
    <row r="311" spans="1:25" x14ac:dyDescent="0.3">
      <c r="U311" s="71" t="s">
        <v>635</v>
      </c>
      <c r="W311" s="71">
        <f>SUM(W307:Y307)/3</f>
        <v>219.35932073719911</v>
      </c>
    </row>
    <row r="312" spans="1:25" ht="15" thickBot="1" x14ac:dyDescent="0.35">
      <c r="U312" s="71" t="s">
        <v>636</v>
      </c>
      <c r="W312" s="71">
        <f>W311-W310</f>
        <v>59.693654070532432</v>
      </c>
    </row>
    <row r="313" spans="1:25" ht="15" thickBot="1" x14ac:dyDescent="0.35">
      <c r="A313" s="71" t="s">
        <v>715</v>
      </c>
      <c r="B313" s="22">
        <f>W313</f>
        <v>0.3738665632803489</v>
      </c>
      <c r="U313" s="644" t="s">
        <v>637</v>
      </c>
      <c r="V313" s="645"/>
      <c r="W313" s="646">
        <f>(W312/W310)</f>
        <v>0.3738665632803489</v>
      </c>
    </row>
    <row r="325" spans="1:44" s="563" customFormat="1" ht="21" x14ac:dyDescent="0.4">
      <c r="A325" s="563" t="s">
        <v>657</v>
      </c>
      <c r="AB325" s="71"/>
      <c r="AC325" s="71"/>
      <c r="AD325" s="71"/>
      <c r="AE325" s="71"/>
      <c r="AF325" s="71"/>
      <c r="AG325" s="71"/>
      <c r="AH325" s="71"/>
      <c r="AI325" s="71"/>
      <c r="AJ325" s="71"/>
      <c r="AK325" s="71"/>
      <c r="AL325" s="71"/>
      <c r="AM325" s="71"/>
      <c r="AN325" s="71"/>
      <c r="AO325" s="71"/>
      <c r="AP325" s="71"/>
      <c r="AQ325" s="71"/>
      <c r="AR325" s="71"/>
    </row>
    <row r="326" spans="1:44" ht="18" x14ac:dyDescent="0.35">
      <c r="A326" s="201" t="s">
        <v>654</v>
      </c>
    </row>
    <row r="327" spans="1:44" x14ac:dyDescent="0.3">
      <c r="A327" s="71" t="s">
        <v>655</v>
      </c>
      <c r="B327" s="6">
        <v>1998</v>
      </c>
      <c r="C327" s="6">
        <v>2017</v>
      </c>
      <c r="D327" s="6" t="s">
        <v>584</v>
      </c>
      <c r="E327" s="6" t="s">
        <v>659</v>
      </c>
    </row>
    <row r="328" spans="1:44" ht="21" x14ac:dyDescent="0.4">
      <c r="B328" s="62">
        <f>B138</f>
        <v>135.46820027063598</v>
      </c>
      <c r="C328" s="62">
        <f>U138</f>
        <v>156.26761904761904</v>
      </c>
      <c r="D328" s="586">
        <f>((B328/C328)^(1/19))-1</f>
        <v>-7.4893464343224192E-3</v>
      </c>
      <c r="E328" s="71" t="s">
        <v>658</v>
      </c>
      <c r="AB328" s="563"/>
      <c r="AC328" s="563"/>
      <c r="AD328" s="563"/>
      <c r="AE328" s="563"/>
      <c r="AF328" s="563"/>
      <c r="AG328" s="563"/>
      <c r="AH328" s="563"/>
      <c r="AI328" s="563"/>
      <c r="AJ328" s="563"/>
      <c r="AK328" s="563"/>
      <c r="AL328" s="563"/>
      <c r="AM328" s="563"/>
      <c r="AN328" s="563"/>
      <c r="AO328" s="563"/>
      <c r="AP328" s="563"/>
      <c r="AQ328" s="563"/>
      <c r="AR328" s="563"/>
    </row>
    <row r="329" spans="1:44" s="465" customFormat="1" ht="15" thickBot="1" x14ac:dyDescent="0.35">
      <c r="B329" s="62"/>
      <c r="C329" s="62"/>
      <c r="D329" s="586"/>
      <c r="E329" s="465" t="s">
        <v>656</v>
      </c>
      <c r="AB329" s="71"/>
      <c r="AC329" s="71"/>
      <c r="AD329" s="71"/>
      <c r="AE329" s="71"/>
      <c r="AF329" s="71"/>
      <c r="AG329" s="71"/>
      <c r="AH329" s="71"/>
      <c r="AI329" s="71"/>
      <c r="AJ329" s="71"/>
      <c r="AK329" s="71"/>
      <c r="AL329" s="71"/>
      <c r="AM329" s="71"/>
      <c r="AN329" s="71"/>
      <c r="AO329" s="71"/>
      <c r="AP329" s="71"/>
      <c r="AQ329" s="71"/>
      <c r="AR329" s="71"/>
    </row>
    <row r="330" spans="1:44" s="465" customFormat="1" x14ac:dyDescent="0.3">
      <c r="B330" s="62"/>
      <c r="C330" s="62"/>
      <c r="D330" s="586"/>
      <c r="E330" s="619">
        <v>1998</v>
      </c>
      <c r="F330" s="620">
        <v>1999</v>
      </c>
      <c r="G330" s="620">
        <v>2000</v>
      </c>
      <c r="H330" s="620">
        <v>2001</v>
      </c>
      <c r="I330" s="620">
        <v>2002</v>
      </c>
      <c r="J330" s="620">
        <v>2003</v>
      </c>
      <c r="K330" s="620">
        <v>2004</v>
      </c>
      <c r="L330" s="620">
        <v>2005</v>
      </c>
      <c r="M330" s="620">
        <v>2006</v>
      </c>
      <c r="N330" s="620">
        <v>2007</v>
      </c>
      <c r="O330" s="620">
        <v>2008</v>
      </c>
      <c r="P330" s="620">
        <v>2009</v>
      </c>
      <c r="Q330" s="620">
        <v>2010</v>
      </c>
      <c r="R330" s="620">
        <v>2011</v>
      </c>
      <c r="S330" s="620">
        <v>2012</v>
      </c>
      <c r="T330" s="620">
        <v>2013</v>
      </c>
      <c r="U330" s="620">
        <v>2014</v>
      </c>
      <c r="V330" s="620">
        <v>2015</v>
      </c>
      <c r="W330" s="620">
        <v>2016</v>
      </c>
      <c r="X330" s="621">
        <v>2017</v>
      </c>
      <c r="AB330" s="71"/>
      <c r="AC330" s="71"/>
      <c r="AD330" s="71"/>
      <c r="AE330" s="71"/>
      <c r="AF330" s="71"/>
      <c r="AG330" s="71"/>
      <c r="AH330" s="71"/>
      <c r="AI330" s="71"/>
      <c r="AJ330" s="71"/>
      <c r="AK330" s="71"/>
      <c r="AL330" s="71"/>
      <c r="AM330" s="71"/>
      <c r="AN330" s="71"/>
      <c r="AO330" s="71"/>
      <c r="AP330" s="71"/>
      <c r="AQ330" s="71"/>
      <c r="AR330" s="71"/>
    </row>
    <row r="331" spans="1:44" x14ac:dyDescent="0.3">
      <c r="E331" s="292"/>
      <c r="F331" s="44">
        <v>1.00732</v>
      </c>
      <c r="G331" s="44">
        <v>1.00732</v>
      </c>
      <c r="H331" s="44">
        <v>1.00732</v>
      </c>
      <c r="I331" s="44">
        <v>1.00732</v>
      </c>
      <c r="J331" s="44">
        <v>1.00732</v>
      </c>
      <c r="K331" s="44">
        <v>1.00732</v>
      </c>
      <c r="L331" s="44">
        <v>1.00732</v>
      </c>
      <c r="M331" s="44">
        <v>1.00732</v>
      </c>
      <c r="N331" s="44">
        <v>1.00732</v>
      </c>
      <c r="O331" s="44">
        <v>1.00732</v>
      </c>
      <c r="P331" s="44">
        <v>1.00732</v>
      </c>
      <c r="Q331" s="44">
        <v>1.00732</v>
      </c>
      <c r="R331" s="44">
        <v>1.00732</v>
      </c>
      <c r="S331" s="44">
        <v>1.00732</v>
      </c>
      <c r="T331" s="44">
        <v>1.00732</v>
      </c>
      <c r="U331" s="44">
        <v>1.00732</v>
      </c>
      <c r="V331" s="44">
        <v>1.00732</v>
      </c>
      <c r="W331" s="44">
        <v>1.00732</v>
      </c>
      <c r="X331" s="349">
        <v>1.00732</v>
      </c>
    </row>
    <row r="332" spans="1:44" ht="15" thickBot="1" x14ac:dyDescent="0.35">
      <c r="E332" s="288">
        <v>128.68</v>
      </c>
      <c r="F332" s="381">
        <f>E332*F331</f>
        <v>129.6219376</v>
      </c>
      <c r="G332" s="381">
        <f>F332*G331</f>
        <v>130.57077018323199</v>
      </c>
      <c r="H332" s="381">
        <f>G332*H331</f>
        <v>131.52654822097324</v>
      </c>
      <c r="I332" s="381">
        <f>H332*1.007132</f>
        <v>132.46459556288522</v>
      </c>
      <c r="J332" s="381">
        <f>I332*J331</f>
        <v>133.43423640240553</v>
      </c>
      <c r="K332" s="381">
        <f>J332*K331</f>
        <v>134.41097501287115</v>
      </c>
      <c r="L332" s="381">
        <f>K332*L331</f>
        <v>135.39486334996536</v>
      </c>
      <c r="M332" s="381">
        <f>L332*M331</f>
        <v>136.3859537496871</v>
      </c>
      <c r="N332" s="381">
        <f>M332*1.007132</f>
        <v>137.35865837182985</v>
      </c>
      <c r="O332" s="381">
        <f>N332*O331</f>
        <v>138.36412375111163</v>
      </c>
      <c r="P332" s="381">
        <f>O332*P331</f>
        <v>139.37694913696978</v>
      </c>
      <c r="Q332" s="381">
        <f>P332*Q331</f>
        <v>140.39718840465241</v>
      </c>
      <c r="R332" s="381">
        <f>Q332*R331</f>
        <v>141.42489582377448</v>
      </c>
      <c r="S332" s="381">
        <f>R332*1.007132</f>
        <v>142.43353818078961</v>
      </c>
      <c r="T332" s="381">
        <f>S332*T331</f>
        <v>143.47615168027298</v>
      </c>
      <c r="U332" s="381">
        <f>T332*U331</f>
        <v>144.52639711057259</v>
      </c>
      <c r="V332" s="381">
        <f>U332*V331</f>
        <v>145.58433033742199</v>
      </c>
      <c r="W332" s="381">
        <f>V332*W331</f>
        <v>146.6500076354919</v>
      </c>
      <c r="X332" s="350">
        <f>W332*1.007132</f>
        <v>147.69591548994822</v>
      </c>
      <c r="AB332" s="465"/>
      <c r="AC332" s="465"/>
      <c r="AD332" s="465"/>
      <c r="AE332" s="465"/>
      <c r="AF332" s="465"/>
      <c r="AG332" s="465"/>
      <c r="AH332" s="465"/>
      <c r="AI332" s="465"/>
      <c r="AJ332" s="465"/>
      <c r="AK332" s="465"/>
      <c r="AL332" s="465"/>
      <c r="AM332" s="465"/>
      <c r="AN332" s="465"/>
      <c r="AO332" s="465"/>
      <c r="AP332" s="465"/>
      <c r="AQ332" s="465"/>
      <c r="AR332" s="465"/>
    </row>
    <row r="333" spans="1:44" x14ac:dyDescent="0.3">
      <c r="AB333" s="465"/>
      <c r="AC333" s="465"/>
      <c r="AD333" s="465"/>
      <c r="AE333" s="465"/>
      <c r="AF333" s="465"/>
      <c r="AG333" s="465"/>
      <c r="AH333" s="465"/>
      <c r="AI333" s="465"/>
      <c r="AJ333" s="465"/>
      <c r="AK333" s="465"/>
      <c r="AL333" s="465"/>
      <c r="AM333" s="465"/>
      <c r="AN333" s="465"/>
      <c r="AO333" s="465"/>
      <c r="AP333" s="465"/>
      <c r="AQ333" s="465"/>
      <c r="AR333" s="465"/>
    </row>
    <row r="337" spans="1:7" x14ac:dyDescent="0.3">
      <c r="A337" s="71" t="s">
        <v>881</v>
      </c>
      <c r="C337" s="71">
        <v>2.7</v>
      </c>
      <c r="D337" s="71">
        <v>3.2</v>
      </c>
      <c r="E337" s="71">
        <v>3.8</v>
      </c>
      <c r="F337" s="71">
        <f>(C337+D337+E337)/3</f>
        <v>3.2333333333333329</v>
      </c>
      <c r="G337" s="71">
        <f>F337/F338</f>
        <v>0.41452991452991444</v>
      </c>
    </row>
    <row r="338" spans="1:7" x14ac:dyDescent="0.3">
      <c r="A338" s="71" t="s">
        <v>878</v>
      </c>
      <c r="C338" s="71">
        <v>8.6</v>
      </c>
      <c r="D338" s="71">
        <v>7.5</v>
      </c>
      <c r="E338" s="71">
        <v>7.3</v>
      </c>
      <c r="F338" s="71">
        <f>(C338+D338+E338)/3</f>
        <v>7.8000000000000007</v>
      </c>
      <c r="G338" s="565">
        <f>F338/F337</f>
        <v>2.4123711340206189</v>
      </c>
    </row>
    <row r="340" spans="1:7" x14ac:dyDescent="0.3">
      <c r="A340" s="71" t="s">
        <v>879</v>
      </c>
      <c r="C340" s="71">
        <v>22.742999999999999</v>
      </c>
      <c r="D340" s="71">
        <v>25.285</v>
      </c>
      <c r="E340" s="71">
        <v>30.222000000000001</v>
      </c>
      <c r="F340" s="71">
        <f>(C340+D340+E340)/3</f>
        <v>26.083333333333332</v>
      </c>
      <c r="G340" s="71">
        <f>F340/F341</f>
        <v>0.5021207784957552</v>
      </c>
    </row>
    <row r="341" spans="1:7" x14ac:dyDescent="0.3">
      <c r="C341" s="71">
        <v>48.542999999999999</v>
      </c>
      <c r="D341" s="71">
        <v>51.387999999999998</v>
      </c>
      <c r="E341" s="71">
        <v>55.908000000000001</v>
      </c>
      <c r="F341" s="71">
        <f>(C341+D341+E341)/3</f>
        <v>51.946333333333335</v>
      </c>
      <c r="G341" s="565">
        <f>F341/F340</f>
        <v>1.9915527156549522</v>
      </c>
    </row>
    <row r="344" spans="1:7" x14ac:dyDescent="0.3">
      <c r="A344" s="71" t="s">
        <v>880</v>
      </c>
      <c r="C344" s="71">
        <f>(B184+C184+D184)/3</f>
        <v>68908.666666666672</v>
      </c>
      <c r="D344" s="71">
        <f>(T184+U184+V184)/3</f>
        <v>169822</v>
      </c>
      <c r="G344" s="71">
        <f>C344/D344</f>
        <v>0.40576996305936019</v>
      </c>
    </row>
    <row r="345" spans="1:7" x14ac:dyDescent="0.3">
      <c r="G345" s="71">
        <f>D344/C344</f>
        <v>2.464450528719174</v>
      </c>
    </row>
  </sheetData>
  <mergeCells count="6">
    <mergeCell ref="A205:M205"/>
    <mergeCell ref="A2:M2"/>
    <mergeCell ref="A3:M3"/>
    <mergeCell ref="A81:I81"/>
    <mergeCell ref="A51:I51"/>
    <mergeCell ref="A196:G196"/>
  </mergeCells>
  <hyperlinks>
    <hyperlink ref="D190" r:id="rId1" xr:uid="{790E9005-F2FE-4AA0-AA66-0389EF8FA33C}"/>
    <hyperlink ref="A150" r:id="rId2" display="Source" xr:uid="{90D6BDE5-9EA1-4B07-B6DC-3A0752133B8B}"/>
    <hyperlink ref="D191" r:id="rId3" xr:uid="{DD9DC0F0-BE12-4B17-9767-667F289CB010}"/>
    <hyperlink ref="A203" r:id="rId4" xr:uid="{CC6094E3-F0C0-4833-A873-2CB0B583B169}"/>
    <hyperlink ref="A204" r:id="rId5" xr:uid="{E176FADE-99C8-40FC-A149-DDC7C782B3D6}"/>
    <hyperlink ref="A209" r:id="rId6" xr:uid="{0B4F281D-9CD9-457B-AB55-0584BB8BAA7E}"/>
    <hyperlink ref="W177" r:id="rId7" xr:uid="{CE13DE0E-CF37-4AEB-B9C9-9F8260B98DF5}"/>
    <hyperlink ref="W184" r:id="rId8" xr:uid="{94418D0A-05BA-486E-95B3-A38DDFCEDB88}"/>
    <hyperlink ref="W185" r:id="rId9" xr:uid="{D1A24406-2B9C-439F-90AF-3F03F83E3DF9}"/>
    <hyperlink ref="W178" r:id="rId10" xr:uid="{B937C916-54D0-417D-9567-5FC491B27845}"/>
    <hyperlink ref="A3:M3" r:id="rId11" display="Sources: ONS " xr:uid="{B245793E-B761-4301-8F84-C19C1ED3A23E}"/>
    <hyperlink ref="A4" r:id="rId12" display="* I am indebted to Michael Burrage (It's Quite OK to Walk Away) for the data enabling this calculation. See Tab 1, Section 2" xr:uid="{67179172-C26E-4A65-9D30-5E90330A36D9}"/>
    <hyperlink ref="C261" r:id="rId13" xr:uid="{73292609-CEA4-4734-A95E-006129348CCF}"/>
    <hyperlink ref="D229" r:id="rId14" xr:uid="{5A33B50B-540D-4947-91BD-A062620C6D38}"/>
    <hyperlink ref="D235" r:id="rId15" xr:uid="{90EFCDCE-66D0-42AC-A0E0-0C1FD8EAD38C}"/>
    <hyperlink ref="A289" r:id="rId16" xr:uid="{CBC77D45-CD85-47E5-9775-E9319CDBE27E}"/>
    <hyperlink ref="B286" r:id="rId17" xr:uid="{2393311B-31BC-4E82-9241-E51F1A7B552F}"/>
    <hyperlink ref="J265" r:id="rId18" xr:uid="{AAA3658A-5995-4E82-AACE-3D0146FE6D93}"/>
    <hyperlink ref="C260" r:id="rId19" xr:uid="{0918688B-7C24-44D6-942A-E268E2CA72A6}"/>
    <hyperlink ref="AB271" r:id="rId20" xr:uid="{31B9F69C-566C-4EB7-9E2E-72C30CDBDB53}"/>
    <hyperlink ref="G265" r:id="rId21" xr:uid="{D028E6A5-8699-431E-B544-6BA43CA11516}"/>
    <hyperlink ref="G260" r:id="rId22" xr:uid="{767B7DF9-E4BB-4CA8-8E94-BC479C83B230}"/>
    <hyperlink ref="A252" r:id="rId23" xr:uid="{9E26E490-56EB-4FCB-9D7D-00D0A76F9267}"/>
    <hyperlink ref="A251" r:id="rId24" xr:uid="{763EC9FE-ACBA-46C0-9938-CD2E2E7CD34A}"/>
    <hyperlink ref="E228" r:id="rId25" xr:uid="{B61A0652-DAD1-41FB-8F40-FFEE669EDA77}"/>
    <hyperlink ref="E227" r:id="rId26" xr:uid="{75E19C2B-CF81-4647-B983-CCA4176D0ADB}"/>
  </hyperlinks>
  <pageMargins left="0.7" right="0.7" top="0.75" bottom="0.75" header="0.3" footer="0.3"/>
  <pageSetup orientation="portrait" horizontalDpi="4294967293" verticalDpi="4294967293" r:id="rId27"/>
  <drawing r:id="rId2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6CE30-AEB2-418F-ADE0-AFFD8A77A795}">
  <dimension ref="A1:AQ195"/>
  <sheetViews>
    <sheetView zoomScale="90" zoomScaleNormal="90" workbookViewId="0">
      <selection activeCell="A2" sqref="A2:M2"/>
    </sheetView>
  </sheetViews>
  <sheetFormatPr defaultRowHeight="14.4" x14ac:dyDescent="0.3"/>
  <cols>
    <col min="1" max="1" width="41.44140625" style="91" customWidth="1"/>
    <col min="2" max="2" width="13.109375" style="91" customWidth="1"/>
    <col min="3" max="3" width="12.109375" style="91" customWidth="1"/>
    <col min="4" max="4" width="12.77734375" style="91" customWidth="1"/>
    <col min="5" max="5" width="13.109375" style="91" customWidth="1"/>
    <col min="6" max="6" width="13.33203125" style="91" customWidth="1"/>
    <col min="7" max="7" width="25.33203125" style="91" customWidth="1"/>
    <col min="8" max="8" width="12.109375" style="91" customWidth="1"/>
    <col min="9" max="9" width="11.44140625" style="91" customWidth="1"/>
    <col min="10" max="19" width="12.6640625" style="91" bestFit="1" customWidth="1"/>
    <col min="20" max="20" width="10.77734375" style="91" bestFit="1" customWidth="1"/>
    <col min="21" max="21" width="8.88671875" style="91"/>
    <col min="22" max="22" width="14.109375" style="91" customWidth="1"/>
    <col min="23" max="24" width="12.33203125" style="91" customWidth="1"/>
    <col min="25" max="16384" width="8.88671875" style="91"/>
  </cols>
  <sheetData>
    <row r="1" spans="1:13" s="156" customFormat="1" ht="54" customHeight="1" x14ac:dyDescent="0.4">
      <c r="A1" s="946" t="s">
        <v>433</v>
      </c>
    </row>
    <row r="2" spans="1:13" s="156" customFormat="1" ht="108.6" customHeight="1" x14ac:dyDescent="0.4">
      <c r="A2" s="972" t="s">
        <v>863</v>
      </c>
      <c r="B2" s="972"/>
      <c r="C2" s="972"/>
      <c r="D2" s="972"/>
      <c r="E2" s="972"/>
      <c r="F2" s="972"/>
      <c r="G2" s="972"/>
      <c r="H2" s="972"/>
      <c r="I2" s="972"/>
      <c r="J2" s="972"/>
      <c r="K2" s="972"/>
      <c r="L2" s="972"/>
      <c r="M2" s="972"/>
    </row>
    <row r="3" spans="1:13" ht="21" customHeight="1" x14ac:dyDescent="0.3">
      <c r="A3" s="97" t="s">
        <v>674</v>
      </c>
      <c r="B3" s="78"/>
      <c r="E3" s="6"/>
      <c r="F3" s="78"/>
    </row>
    <row r="4" spans="1:13" s="465" customFormat="1" x14ac:dyDescent="0.3">
      <c r="A4" s="6" t="s">
        <v>684</v>
      </c>
      <c r="B4" s="594" t="s">
        <v>840</v>
      </c>
      <c r="D4" s="465" t="s">
        <v>675</v>
      </c>
      <c r="E4" s="6"/>
      <c r="F4" s="78"/>
    </row>
    <row r="5" spans="1:13" x14ac:dyDescent="0.3">
      <c r="A5" s="8" t="s">
        <v>838</v>
      </c>
      <c r="B5" s="594" t="s">
        <v>839</v>
      </c>
      <c r="E5" s="6"/>
      <c r="F5" s="78"/>
    </row>
    <row r="6" spans="1:13" ht="36.6" customHeight="1" x14ac:dyDescent="0.3">
      <c r="A6" s="980" t="s">
        <v>841</v>
      </c>
      <c r="B6" s="980"/>
      <c r="C6" s="980"/>
      <c r="D6" s="980"/>
      <c r="E6" s="980"/>
      <c r="F6" s="980"/>
      <c r="G6" s="980"/>
      <c r="H6" s="980"/>
      <c r="I6" s="980"/>
      <c r="J6" s="980"/>
      <c r="K6" s="980"/>
      <c r="L6" s="980"/>
    </row>
    <row r="7" spans="1:13" ht="18" x14ac:dyDescent="0.35">
      <c r="A7" s="95" t="s">
        <v>763</v>
      </c>
      <c r="B7" s="83"/>
      <c r="C7" s="499"/>
      <c r="F7" s="9"/>
    </row>
    <row r="8" spans="1:13" x14ac:dyDescent="0.3">
      <c r="A8" s="140" t="s">
        <v>685</v>
      </c>
      <c r="B8" s="112" t="s">
        <v>137</v>
      </c>
      <c r="C8" s="171" t="s">
        <v>64</v>
      </c>
      <c r="D8" s="171" t="s">
        <v>319</v>
      </c>
      <c r="F8" s="72"/>
    </row>
    <row r="9" spans="1:13" x14ac:dyDescent="0.3">
      <c r="A9" s="172" t="s">
        <v>434</v>
      </c>
      <c r="B9" s="57">
        <f>U173</f>
        <v>116.70699999999999</v>
      </c>
      <c r="C9" s="173">
        <f>U178</f>
        <v>166.70400000000001</v>
      </c>
      <c r="D9" s="173">
        <f>B9+C9</f>
        <v>283.411</v>
      </c>
    </row>
    <row r="10" spans="1:13" x14ac:dyDescent="0.3">
      <c r="A10" s="143" t="s">
        <v>432</v>
      </c>
      <c r="B10" s="174">
        <f>U173 +U174</f>
        <v>204.01</v>
      </c>
      <c r="C10" s="175">
        <f>U178+U179</f>
        <v>255.68799999999999</v>
      </c>
      <c r="D10" s="175">
        <f>B10+C10</f>
        <v>459.69799999999998</v>
      </c>
    </row>
    <row r="11" spans="1:13" ht="15" thickBot="1" x14ac:dyDescent="0.35">
      <c r="B11" s="96"/>
      <c r="C11" s="55"/>
    </row>
    <row r="12" spans="1:13" x14ac:dyDescent="0.3">
      <c r="A12" s="245" t="s">
        <v>321</v>
      </c>
      <c r="B12" s="246" t="s">
        <v>137</v>
      </c>
      <c r="C12" s="246" t="s">
        <v>64</v>
      </c>
      <c r="D12" s="241" t="s">
        <v>319</v>
      </c>
    </row>
    <row r="13" spans="1:13" x14ac:dyDescent="0.3">
      <c r="A13" s="247" t="s">
        <v>318</v>
      </c>
      <c r="B13" s="193">
        <f>'2016-2018 ONS Services Data'!C63</f>
        <v>26.741</v>
      </c>
      <c r="C13" s="193">
        <f>'2016-2018 ONS Services Data'!C64</f>
        <v>34.67</v>
      </c>
      <c r="D13" s="248">
        <f>B13+C13</f>
        <v>61.411000000000001</v>
      </c>
    </row>
    <row r="14" spans="1:13" ht="28.8" x14ac:dyDescent="0.3">
      <c r="A14" s="716" t="s">
        <v>827</v>
      </c>
      <c r="B14" s="193">
        <f>'2016-2018 ONS Services Data'!D63</f>
        <v>16.888000000000002</v>
      </c>
      <c r="C14" s="193">
        <f>'2016-2018 ONS Services Data'!D64</f>
        <v>23.885000000000002</v>
      </c>
      <c r="D14" s="248">
        <f>B14+C14</f>
        <v>40.773000000000003</v>
      </c>
      <c r="E14" s="521">
        <f>(B14+C14)/D22</f>
        <v>0.14386526987308185</v>
      </c>
    </row>
    <row r="15" spans="1:13" x14ac:dyDescent="0.3">
      <c r="A15" s="716" t="s">
        <v>138</v>
      </c>
      <c r="B15" s="193">
        <f>'2016-2018 ONS Services Data'!E63</f>
        <v>17.123000000000001</v>
      </c>
      <c r="C15" s="193">
        <f>'2016-2018 ONS Services Data'!E64</f>
        <v>21.766999999999999</v>
      </c>
      <c r="D15" s="248">
        <f t="shared" ref="D15:D21" si="0">B15+C15</f>
        <v>38.89</v>
      </c>
      <c r="E15" s="522"/>
    </row>
    <row r="16" spans="1:13" ht="28.8" x14ac:dyDescent="0.3">
      <c r="A16" s="716" t="s">
        <v>826</v>
      </c>
      <c r="B16" s="193">
        <f>'2016-2018 ONS Services Data'!F63</f>
        <v>12.955</v>
      </c>
      <c r="C16" s="717">
        <f>'2016-2018 ONS Services Data'!F64</f>
        <v>19.652999999999999</v>
      </c>
      <c r="D16" s="248">
        <f t="shared" si="0"/>
        <v>32.607999999999997</v>
      </c>
    </row>
    <row r="17" spans="1:6" x14ac:dyDescent="0.3">
      <c r="A17" s="716" t="s">
        <v>830</v>
      </c>
      <c r="B17" s="193">
        <f>'2016-2018 ONS Services Data'!G63</f>
        <v>13.090999999999999</v>
      </c>
      <c r="C17" s="193">
        <f>'2016-2018 ONS Services Data'!G64</f>
        <v>17.128</v>
      </c>
      <c r="D17" s="248">
        <f t="shared" si="0"/>
        <v>30.219000000000001</v>
      </c>
    </row>
    <row r="18" spans="1:6" x14ac:dyDescent="0.3">
      <c r="A18" s="716" t="s">
        <v>828</v>
      </c>
      <c r="B18" s="193">
        <f>'2016-2018 ONS Services Data'!H63</f>
        <v>9.234</v>
      </c>
      <c r="C18" s="193">
        <f>'2016-2018 ONS Services Data'!H64</f>
        <v>11.544</v>
      </c>
      <c r="D18" s="248">
        <f t="shared" si="0"/>
        <v>20.777999999999999</v>
      </c>
    </row>
    <row r="19" spans="1:6" s="465" customFormat="1" x14ac:dyDescent="0.3">
      <c r="A19" s="716" t="s">
        <v>831</v>
      </c>
      <c r="B19" s="193">
        <f>'2016-2018 ONS Services Data'!I63</f>
        <v>6.3040000000000003</v>
      </c>
      <c r="C19" s="193">
        <f>'2016-2018 ONS Services Data'!I64</f>
        <v>13.308999999999999</v>
      </c>
      <c r="D19" s="248">
        <f t="shared" si="0"/>
        <v>19.613</v>
      </c>
    </row>
    <row r="20" spans="1:6" x14ac:dyDescent="0.3">
      <c r="A20" s="716" t="s">
        <v>320</v>
      </c>
      <c r="B20" s="193">
        <f>'2016-2018 ONS Services Data'!J63</f>
        <v>6.0250000000000004</v>
      </c>
      <c r="C20" s="193">
        <f>'2016-2018 ONS Services Data'!J64</f>
        <v>11.048999999999999</v>
      </c>
      <c r="D20" s="248">
        <f t="shared" si="0"/>
        <v>17.073999999999998</v>
      </c>
    </row>
    <row r="21" spans="1:6" x14ac:dyDescent="0.3">
      <c r="A21" s="716" t="s">
        <v>829</v>
      </c>
      <c r="B21" s="193">
        <f>'2016-2018 ONS Services Data'!K63</f>
        <v>8.3460000000000001</v>
      </c>
      <c r="C21" s="193">
        <f>'2016-2018 ONS Services Data'!K64</f>
        <v>13.699</v>
      </c>
      <c r="D21" s="248">
        <f t="shared" si="0"/>
        <v>22.045000000000002</v>
      </c>
      <c r="E21" s="81"/>
    </row>
    <row r="22" spans="1:6" ht="15" thickBot="1" x14ac:dyDescent="0.35">
      <c r="A22" s="337" t="s">
        <v>322</v>
      </c>
      <c r="B22" s="249">
        <f>SUM(B13:B21)</f>
        <v>116.70700000000001</v>
      </c>
      <c r="C22" s="249">
        <f>SUM(C13:C21)</f>
        <v>166.70400000000001</v>
      </c>
      <c r="D22" s="250">
        <f>SUM(D13:D21)</f>
        <v>283.411</v>
      </c>
      <c r="E22" s="45"/>
      <c r="F22" s="81"/>
    </row>
    <row r="23" spans="1:6" x14ac:dyDescent="0.3">
      <c r="A23" s="235"/>
      <c r="B23" s="231"/>
      <c r="C23" s="231"/>
      <c r="D23" s="236"/>
      <c r="E23" s="45"/>
      <c r="F23" s="81"/>
    </row>
    <row r="24" spans="1:6" x14ac:dyDescent="0.3">
      <c r="A24" s="81"/>
      <c r="B24" s="81"/>
      <c r="C24" s="81"/>
      <c r="D24" s="81"/>
      <c r="E24" s="45"/>
      <c r="F24" s="81"/>
    </row>
    <row r="25" spans="1:6" ht="18.600000000000001" thickBot="1" x14ac:dyDescent="0.4">
      <c r="A25" s="95" t="s">
        <v>420</v>
      </c>
      <c r="B25" s="81"/>
      <c r="C25" s="81"/>
      <c r="D25" s="81"/>
      <c r="E25" s="45"/>
      <c r="F25" s="81"/>
    </row>
    <row r="26" spans="1:6" x14ac:dyDescent="0.3">
      <c r="A26" s="245" t="s">
        <v>833</v>
      </c>
      <c r="B26" s="718">
        <v>2018</v>
      </c>
      <c r="C26" s="720" t="s">
        <v>431</v>
      </c>
      <c r="D26" s="81"/>
      <c r="E26" s="45"/>
      <c r="F26" s="81"/>
    </row>
    <row r="27" spans="1:6" x14ac:dyDescent="0.3">
      <c r="A27" s="247" t="s">
        <v>318</v>
      </c>
      <c r="B27" s="688">
        <f>B13</f>
        <v>26.741</v>
      </c>
      <c r="C27" s="721">
        <f>B27/B36</f>
        <v>0.22912935813618718</v>
      </c>
      <c r="D27" s="81"/>
      <c r="E27" s="45"/>
      <c r="F27" s="81"/>
    </row>
    <row r="28" spans="1:6" ht="28.8" x14ac:dyDescent="0.3">
      <c r="A28" s="716" t="s">
        <v>827</v>
      </c>
      <c r="B28" s="688">
        <f>B14</f>
        <v>16.888000000000002</v>
      </c>
      <c r="C28" s="721">
        <f>B28/B36</f>
        <v>0.14470425938461276</v>
      </c>
      <c r="D28" s="81"/>
      <c r="E28" s="45"/>
      <c r="F28" s="81"/>
    </row>
    <row r="29" spans="1:6" x14ac:dyDescent="0.3">
      <c r="A29" s="716" t="s">
        <v>138</v>
      </c>
      <c r="B29" s="688">
        <f t="shared" ref="B29:B36" si="1">B15</f>
        <v>17.123000000000001</v>
      </c>
      <c r="C29" s="721">
        <f>B29/B36</f>
        <v>0.14671784897221246</v>
      </c>
      <c r="D29" s="81"/>
      <c r="E29" s="45"/>
      <c r="F29" s="81"/>
    </row>
    <row r="30" spans="1:6" ht="28.8" x14ac:dyDescent="0.3">
      <c r="A30" s="716" t="s">
        <v>826</v>
      </c>
      <c r="B30" s="688">
        <f t="shared" si="1"/>
        <v>12.955</v>
      </c>
      <c r="C30" s="721">
        <f>B30/B36</f>
        <v>0.11100448130789069</v>
      </c>
      <c r="D30" s="81"/>
      <c r="E30" s="45"/>
      <c r="F30" s="81"/>
    </row>
    <row r="31" spans="1:6" x14ac:dyDescent="0.3">
      <c r="A31" s="716" t="s">
        <v>830</v>
      </c>
      <c r="B31" s="688">
        <f t="shared" si="1"/>
        <v>13.090999999999999</v>
      </c>
      <c r="C31" s="721">
        <f>B31/B36</f>
        <v>0.11216979272879946</v>
      </c>
      <c r="D31" s="81"/>
      <c r="E31" s="45"/>
      <c r="F31" s="81"/>
    </row>
    <row r="32" spans="1:6" x14ac:dyDescent="0.3">
      <c r="A32" s="716" t="s">
        <v>828</v>
      </c>
      <c r="B32" s="688">
        <f t="shared" si="1"/>
        <v>9.234</v>
      </c>
      <c r="C32" s="721">
        <f>B32/B36</f>
        <v>7.9121218093173504E-2</v>
      </c>
      <c r="D32" s="81"/>
      <c r="E32" s="45"/>
      <c r="F32" s="81"/>
    </row>
    <row r="33" spans="1:20" x14ac:dyDescent="0.3">
      <c r="A33" s="716" t="s">
        <v>831</v>
      </c>
      <c r="B33" s="688">
        <f t="shared" si="1"/>
        <v>6.3040000000000003</v>
      </c>
      <c r="C33" s="721">
        <f>B33/B36</f>
        <v>5.4015611745653641E-2</v>
      </c>
      <c r="D33" s="81"/>
      <c r="E33" s="45"/>
      <c r="F33" s="81"/>
    </row>
    <row r="34" spans="1:20" s="465" customFormat="1" x14ac:dyDescent="0.3">
      <c r="A34" s="716" t="s">
        <v>320</v>
      </c>
      <c r="B34" s="688">
        <f t="shared" si="1"/>
        <v>6.0250000000000004</v>
      </c>
      <c r="C34" s="721">
        <f>B34/B36</f>
        <v>5.162500963952462E-2</v>
      </c>
      <c r="D34" s="81"/>
      <c r="E34" s="45"/>
      <c r="F34" s="81"/>
    </row>
    <row r="35" spans="1:20" s="465" customFormat="1" x14ac:dyDescent="0.3">
      <c r="A35" s="716" t="s">
        <v>829</v>
      </c>
      <c r="B35" s="688">
        <f t="shared" si="1"/>
        <v>8.3460000000000001</v>
      </c>
      <c r="C35" s="721">
        <f>B35/B36</f>
        <v>7.1512419991945644E-2</v>
      </c>
      <c r="D35" s="81"/>
      <c r="E35" s="45"/>
      <c r="F35" s="81"/>
    </row>
    <row r="36" spans="1:20" ht="15" thickBot="1" x14ac:dyDescent="0.35">
      <c r="A36" s="274" t="s">
        <v>193</v>
      </c>
      <c r="B36" s="719">
        <f t="shared" si="1"/>
        <v>116.70700000000001</v>
      </c>
      <c r="C36" s="722">
        <f>SUM(C27:C35)</f>
        <v>1</v>
      </c>
      <c r="D36" s="81"/>
      <c r="E36" s="45"/>
      <c r="F36" s="81"/>
    </row>
    <row r="37" spans="1:20" x14ac:dyDescent="0.3">
      <c r="A37" s="81"/>
      <c r="B37" s="81"/>
      <c r="C37" s="81"/>
      <c r="D37" s="81"/>
      <c r="E37" s="45"/>
      <c r="F37" s="81"/>
    </row>
    <row r="38" spans="1:20" ht="28.2" customHeight="1" x14ac:dyDescent="0.3">
      <c r="A38" s="979" t="s">
        <v>468</v>
      </c>
      <c r="B38" s="979"/>
      <c r="C38" s="979"/>
      <c r="D38" s="979"/>
      <c r="E38" s="979"/>
      <c r="F38" s="81"/>
    </row>
    <row r="39" spans="1:20" x14ac:dyDescent="0.3">
      <c r="A39" s="81"/>
      <c r="B39" s="81"/>
      <c r="C39" s="81"/>
      <c r="D39" s="81"/>
      <c r="E39" s="45"/>
      <c r="F39" s="81"/>
    </row>
    <row r="40" spans="1:20" x14ac:dyDescent="0.3">
      <c r="A40" s="81"/>
      <c r="B40" s="81"/>
      <c r="C40" s="81"/>
      <c r="D40" s="81"/>
      <c r="E40" s="45"/>
      <c r="F40" s="81"/>
    </row>
    <row r="41" spans="1:20" s="45" customFormat="1" ht="18.600000000000001" thickBot="1" x14ac:dyDescent="0.4">
      <c r="A41" s="95" t="s">
        <v>472</v>
      </c>
    </row>
    <row r="42" spans="1:20" ht="28.8" x14ac:dyDescent="0.3">
      <c r="A42" s="239">
        <v>2018</v>
      </c>
      <c r="B42" s="240" t="s">
        <v>215</v>
      </c>
      <c r="C42" s="240" t="s">
        <v>473</v>
      </c>
      <c r="D42" s="240" t="s">
        <v>34</v>
      </c>
      <c r="E42" s="241" t="s">
        <v>189</v>
      </c>
      <c r="M42" s="6"/>
      <c r="N42" s="6"/>
      <c r="O42" s="6"/>
      <c r="P42" s="6"/>
      <c r="Q42" s="6"/>
      <c r="R42" s="6"/>
      <c r="S42" s="6"/>
      <c r="T42" s="6"/>
    </row>
    <row r="43" spans="1:20" x14ac:dyDescent="0.3">
      <c r="A43" s="242" t="s">
        <v>322</v>
      </c>
      <c r="B43" s="122">
        <f>D22</f>
        <v>283.411</v>
      </c>
      <c r="C43" s="122">
        <v>153.02799999999999</v>
      </c>
      <c r="D43" s="122">
        <f>B43-C43</f>
        <v>130.38300000000001</v>
      </c>
      <c r="E43" s="243">
        <f>B43/B43</f>
        <v>1</v>
      </c>
      <c r="M43" s="6"/>
      <c r="N43" s="6"/>
      <c r="O43" s="6"/>
      <c r="P43" s="6"/>
      <c r="Q43" s="6"/>
      <c r="R43" s="6"/>
      <c r="S43" s="6"/>
      <c r="T43" s="6"/>
    </row>
    <row r="44" spans="1:20" x14ac:dyDescent="0.3">
      <c r="A44" s="247" t="s">
        <v>318</v>
      </c>
      <c r="B44" s="244">
        <f>'2016-2018 ONS Services Data'!C65</f>
        <v>61.411000000000001</v>
      </c>
      <c r="C44" s="244">
        <f>'2016-2018 ONS Services Data'!C69</f>
        <v>18.442</v>
      </c>
      <c r="D44" s="244">
        <f>B44-C44</f>
        <v>42.969000000000001</v>
      </c>
      <c r="E44" s="256">
        <f>B44/B43</f>
        <v>0.21668530861540308</v>
      </c>
      <c r="M44" s="6"/>
      <c r="N44" s="6"/>
      <c r="O44" s="6"/>
      <c r="P44" s="6"/>
      <c r="Q44" s="6"/>
      <c r="R44" s="6"/>
      <c r="S44" s="6"/>
      <c r="T44" s="6"/>
    </row>
    <row r="45" spans="1:20" ht="28.8" x14ac:dyDescent="0.3">
      <c r="A45" s="716" t="s">
        <v>827</v>
      </c>
      <c r="B45" s="244">
        <f>'2016-2018 ONS Services Data'!D65</f>
        <v>40.773000000000003</v>
      </c>
      <c r="C45" s="244">
        <f>'2016-2018 ONS Services Data'!D69</f>
        <v>28.337</v>
      </c>
      <c r="D45" s="244">
        <f t="shared" ref="D45:D52" si="2">B45-C45</f>
        <v>12.436000000000003</v>
      </c>
      <c r="E45" s="256">
        <f>B45/B43</f>
        <v>0.14386526987308185</v>
      </c>
      <c r="M45" s="6"/>
      <c r="N45" s="6"/>
      <c r="O45" s="6"/>
      <c r="P45" s="6"/>
      <c r="Q45" s="6"/>
      <c r="R45" s="6"/>
      <c r="S45" s="6"/>
      <c r="T45" s="6"/>
    </row>
    <row r="46" spans="1:20" x14ac:dyDescent="0.3">
      <c r="A46" s="716" t="s">
        <v>138</v>
      </c>
      <c r="B46" s="244">
        <f>'2016-2018 ONS Services Data'!E65</f>
        <v>38.89</v>
      </c>
      <c r="C46" s="244">
        <f>'2016-2018 ONS Services Data'!E69</f>
        <v>56.832000000000001</v>
      </c>
      <c r="D46" s="244">
        <f t="shared" si="2"/>
        <v>-17.942</v>
      </c>
      <c r="E46" s="256">
        <f>B46/B43</f>
        <v>0.13722120877453592</v>
      </c>
      <c r="M46" s="6"/>
      <c r="N46" s="6"/>
      <c r="O46" s="6"/>
      <c r="P46" s="6"/>
      <c r="Q46" s="6"/>
      <c r="R46" s="6"/>
      <c r="S46" s="6"/>
      <c r="T46" s="6"/>
    </row>
    <row r="47" spans="1:20" ht="28.8" x14ac:dyDescent="0.3">
      <c r="A47" s="716" t="s">
        <v>826</v>
      </c>
      <c r="B47" s="244">
        <f>'2016-2018 ONS Services Data'!F65</f>
        <v>32.607999999999997</v>
      </c>
      <c r="C47" s="244">
        <f>'2016-2018 ONS Services Data'!F69</f>
        <v>9.3390000000000004</v>
      </c>
      <c r="D47" s="244">
        <f t="shared" si="2"/>
        <v>23.268999999999998</v>
      </c>
      <c r="E47" s="256">
        <f>B47/B43</f>
        <v>0.11505552007508529</v>
      </c>
      <c r="M47" s="6"/>
      <c r="N47" s="6"/>
      <c r="O47" s="6"/>
      <c r="P47" s="6"/>
      <c r="Q47" s="6"/>
      <c r="R47" s="6"/>
      <c r="S47" s="6"/>
      <c r="T47" s="6"/>
    </row>
    <row r="48" spans="1:20" x14ac:dyDescent="0.3">
      <c r="A48" s="716" t="s">
        <v>830</v>
      </c>
      <c r="B48" s="244">
        <f>'2016-2018 ONS Services Data'!G65</f>
        <v>30.219000000000001</v>
      </c>
      <c r="C48" s="244">
        <f>'2016-2018 ONS Services Data'!G69</f>
        <v>23.908999999999999</v>
      </c>
      <c r="D48" s="244">
        <f t="shared" si="2"/>
        <v>6.3100000000000023</v>
      </c>
      <c r="E48" s="256">
        <f>B48/B43</f>
        <v>0.10662606603131142</v>
      </c>
      <c r="M48" s="6"/>
      <c r="N48" s="6"/>
      <c r="O48" s="6"/>
      <c r="P48" s="6"/>
      <c r="Q48" s="6"/>
      <c r="R48" s="6"/>
      <c r="S48" s="6"/>
      <c r="T48" s="6"/>
    </row>
    <row r="49" spans="1:21" x14ac:dyDescent="0.3">
      <c r="A49" s="716" t="s">
        <v>828</v>
      </c>
      <c r="B49" s="244">
        <f>'2016-2018 ONS Services Data'!H65</f>
        <v>20.777999999999999</v>
      </c>
      <c r="C49" s="244">
        <f>'2016-2018 ONS Services Data'!H69</f>
        <v>12.865</v>
      </c>
      <c r="D49" s="244">
        <f t="shared" si="2"/>
        <v>7.9129999999999985</v>
      </c>
      <c r="E49" s="256">
        <f>B49/B43</f>
        <v>7.3314020980131317E-2</v>
      </c>
      <c r="M49" s="6"/>
      <c r="N49" s="6"/>
      <c r="O49" s="6"/>
      <c r="P49" s="6"/>
      <c r="Q49" s="6"/>
      <c r="R49" s="6"/>
      <c r="S49" s="6"/>
      <c r="T49" s="6"/>
    </row>
    <row r="50" spans="1:21" x14ac:dyDescent="0.3">
      <c r="A50" s="716" t="s">
        <v>831</v>
      </c>
      <c r="B50" s="244">
        <f>'2016-2018 ONS Services Data'!I65</f>
        <v>19.613</v>
      </c>
      <c r="C50" s="244">
        <f>'2016-2018 ONS Services Data'!I69</f>
        <v>1.7769999999999999</v>
      </c>
      <c r="D50" s="244">
        <f t="shared" si="2"/>
        <v>17.835999999999999</v>
      </c>
      <c r="E50" s="256">
        <f>B50/B43</f>
        <v>6.9203383072640082E-2</v>
      </c>
      <c r="M50" s="6"/>
      <c r="N50" s="6"/>
      <c r="O50" s="6"/>
      <c r="P50" s="6"/>
      <c r="Q50" s="6"/>
      <c r="R50" s="6"/>
      <c r="S50" s="6"/>
      <c r="T50" s="6"/>
    </row>
    <row r="51" spans="1:21" x14ac:dyDescent="0.3">
      <c r="A51" s="716" t="s">
        <v>320</v>
      </c>
      <c r="B51" s="244">
        <f>'2016-2018 ONS Services Data'!J65</f>
        <v>17.074000000000002</v>
      </c>
      <c r="C51" s="244">
        <f>'2016-2018 ONS Services Data'!J69</f>
        <v>10.016999999999999</v>
      </c>
      <c r="D51" s="244">
        <f t="shared" si="2"/>
        <v>7.0570000000000022</v>
      </c>
      <c r="E51" s="256">
        <f>B51/B43</f>
        <v>6.0244662345498239E-2</v>
      </c>
      <c r="M51" s="6"/>
      <c r="N51" s="6"/>
      <c r="O51" s="6"/>
      <c r="P51" s="6"/>
      <c r="Q51" s="6"/>
      <c r="R51" s="6"/>
      <c r="S51" s="6"/>
      <c r="T51" s="6"/>
    </row>
    <row r="52" spans="1:21" x14ac:dyDescent="0.3">
      <c r="A52" s="716" t="s">
        <v>829</v>
      </c>
      <c r="B52" s="244">
        <f>'2016-2018 ONS Services Data'!K65</f>
        <v>22.044999999999998</v>
      </c>
      <c r="C52" s="244">
        <f>'2016-2018 ONS Services Data'!K69</f>
        <v>14.769</v>
      </c>
      <c r="D52" s="244">
        <f t="shared" si="2"/>
        <v>7.275999999999998</v>
      </c>
      <c r="E52" s="256">
        <f>B52/B43</f>
        <v>7.7784560232312783E-2</v>
      </c>
      <c r="M52" s="6"/>
      <c r="N52" s="6"/>
      <c r="O52" s="6"/>
      <c r="P52" s="6"/>
      <c r="Q52" s="6"/>
      <c r="R52" s="6"/>
      <c r="S52" s="6"/>
      <c r="T52" s="6"/>
    </row>
    <row r="53" spans="1:21" x14ac:dyDescent="0.3">
      <c r="A53" s="724" t="s">
        <v>172</v>
      </c>
      <c r="B53" s="723">
        <f>SUM(B44:B52)</f>
        <v>283.411</v>
      </c>
      <c r="C53" s="725">
        <f>SUM(C44:C52)</f>
        <v>176.28699999999998</v>
      </c>
      <c r="D53" s="725">
        <f>B53-C53</f>
        <v>107.12400000000002</v>
      </c>
      <c r="E53" s="132"/>
      <c r="L53" s="6"/>
      <c r="M53" s="6"/>
      <c r="N53" s="6"/>
      <c r="O53" s="6"/>
      <c r="P53" s="6"/>
      <c r="Q53" s="6"/>
      <c r="R53" s="6"/>
      <c r="S53" s="6"/>
      <c r="T53" s="33"/>
    </row>
    <row r="54" spans="1:21" x14ac:dyDescent="0.3">
      <c r="B54" s="6"/>
      <c r="C54" s="18"/>
      <c r="D54" s="18"/>
      <c r="L54" s="6"/>
      <c r="M54" s="6"/>
      <c r="N54" s="6"/>
      <c r="O54" s="6"/>
      <c r="P54" s="6"/>
      <c r="Q54" s="6"/>
      <c r="R54" s="6"/>
      <c r="S54" s="6"/>
      <c r="T54" s="33"/>
    </row>
    <row r="55" spans="1:21" x14ac:dyDescent="0.3">
      <c r="B55" s="6"/>
      <c r="C55" s="18"/>
      <c r="D55" s="18"/>
      <c r="L55" s="6"/>
      <c r="M55" s="6"/>
      <c r="N55" s="6"/>
      <c r="O55" s="6"/>
      <c r="P55" s="6"/>
      <c r="Q55" s="6"/>
      <c r="R55" s="6"/>
      <c r="S55" s="6"/>
      <c r="T55" s="33"/>
    </row>
    <row r="56" spans="1:21" ht="15" thickBot="1" x14ac:dyDescent="0.35">
      <c r="A56" s="19" t="s">
        <v>471</v>
      </c>
      <c r="C56" s="18"/>
      <c r="D56" s="18"/>
      <c r="L56" s="6"/>
      <c r="M56" s="6"/>
      <c r="N56" s="6"/>
      <c r="O56" s="6"/>
      <c r="P56" s="6"/>
      <c r="Q56" s="6"/>
      <c r="R56" s="6"/>
      <c r="S56" s="6"/>
      <c r="T56" s="33"/>
    </row>
    <row r="57" spans="1:21" ht="28.8" x14ac:dyDescent="0.3">
      <c r="A57" s="239" t="s">
        <v>836</v>
      </c>
      <c r="B57" s="240" t="s">
        <v>325</v>
      </c>
      <c r="C57" s="240" t="s">
        <v>323</v>
      </c>
      <c r="D57" s="486" t="s">
        <v>34</v>
      </c>
      <c r="E57" s="241" t="s">
        <v>677</v>
      </c>
      <c r="L57" s="6"/>
      <c r="M57" s="6"/>
      <c r="N57" s="6"/>
      <c r="O57" s="6"/>
      <c r="P57" s="6"/>
      <c r="Q57" s="6"/>
      <c r="R57" s="6"/>
      <c r="S57" s="6"/>
      <c r="T57" s="33"/>
    </row>
    <row r="58" spans="1:21" ht="19.2" customHeight="1" x14ac:dyDescent="0.3">
      <c r="A58" s="242" t="s">
        <v>327</v>
      </c>
      <c r="B58" s="122">
        <f>SUM(B59:B67)</f>
        <v>116.70700000000001</v>
      </c>
      <c r="C58" s="122">
        <f>SUM(C59:C67)</f>
        <v>87.302999999999997</v>
      </c>
      <c r="D58" s="595">
        <f>B58-C58</f>
        <v>29.404000000000011</v>
      </c>
      <c r="E58" s="253">
        <f>B58+C58</f>
        <v>204.01</v>
      </c>
      <c r="L58" s="6"/>
      <c r="M58" s="6"/>
      <c r="N58" s="6"/>
      <c r="O58" s="6"/>
      <c r="P58" s="6"/>
      <c r="Q58" s="6"/>
      <c r="R58" s="6"/>
      <c r="S58" s="6"/>
      <c r="T58" s="33"/>
    </row>
    <row r="59" spans="1:21" s="12" customFormat="1" x14ac:dyDescent="0.3">
      <c r="A59" s="247" t="s">
        <v>318</v>
      </c>
      <c r="B59" s="244">
        <f>'2016-2018 ONS Services Data'!C63</f>
        <v>26.741</v>
      </c>
      <c r="C59" s="244">
        <f>'2016-2018 ONS Services Data'!C67</f>
        <v>6.3209999999999997</v>
      </c>
      <c r="D59" s="596">
        <f t="shared" ref="D59:D66" si="3">B59-C59</f>
        <v>20.420000000000002</v>
      </c>
      <c r="E59" s="254">
        <f>B59+C59</f>
        <v>33.061999999999998</v>
      </c>
      <c r="F59" s="6"/>
      <c r="G59" s="117"/>
      <c r="H59" s="222"/>
      <c r="I59" s="117"/>
      <c r="M59" s="232"/>
      <c r="N59" s="232">
        <f>B60/B58</f>
        <v>0.14470425938461276</v>
      </c>
      <c r="O59" s="232"/>
      <c r="P59" s="232"/>
      <c r="Q59" s="232"/>
      <c r="R59" s="232"/>
      <c r="S59" s="232"/>
      <c r="T59" s="232"/>
      <c r="U59" s="224"/>
    </row>
    <row r="60" spans="1:21" ht="28.8" x14ac:dyDescent="0.3">
      <c r="A60" s="716" t="s">
        <v>827</v>
      </c>
      <c r="B60" s="244">
        <f>'2016-2018 ONS Services Data'!D63</f>
        <v>16.888000000000002</v>
      </c>
      <c r="C60" s="244">
        <f>'2016-2018 ONS Services Data'!D67</f>
        <v>11.906000000000001</v>
      </c>
      <c r="D60" s="596">
        <f t="shared" si="3"/>
        <v>4.9820000000000011</v>
      </c>
      <c r="E60" s="254">
        <f t="shared" ref="E60:E66" si="4">B60+C60</f>
        <v>28.794000000000004</v>
      </c>
      <c r="F60" s="6"/>
      <c r="G60" s="138"/>
      <c r="H60" s="230"/>
      <c r="I60" s="199"/>
      <c r="M60" s="6"/>
      <c r="N60" s="6"/>
      <c r="O60" s="6"/>
      <c r="P60" s="6"/>
      <c r="Q60" s="6"/>
      <c r="R60" s="6"/>
      <c r="S60" s="6"/>
      <c r="T60" s="6"/>
      <c r="U60" s="33"/>
    </row>
    <row r="61" spans="1:21" x14ac:dyDescent="0.3">
      <c r="A61" s="716" t="s">
        <v>138</v>
      </c>
      <c r="B61" s="244">
        <f>'2016-2018 ONS Services Data'!E63</f>
        <v>17.123000000000001</v>
      </c>
      <c r="C61" s="244">
        <f>'2016-2018 ONS Services Data'!E67</f>
        <v>34.768000000000001</v>
      </c>
      <c r="D61" s="596">
        <f t="shared" si="3"/>
        <v>-17.645</v>
      </c>
      <c r="E61" s="254">
        <f t="shared" si="4"/>
        <v>51.891000000000005</v>
      </c>
      <c r="F61" s="6"/>
      <c r="G61" s="129"/>
      <c r="H61" s="230"/>
      <c r="I61" s="199"/>
      <c r="O61" s="18"/>
      <c r="S61" s="6"/>
      <c r="T61" s="33"/>
      <c r="U61" s="33"/>
    </row>
    <row r="62" spans="1:21" ht="28.8" x14ac:dyDescent="0.3">
      <c r="A62" s="716" t="s">
        <v>826</v>
      </c>
      <c r="B62" s="726">
        <f>'2016-2018 ONS Services Data'!F63</f>
        <v>12.955</v>
      </c>
      <c r="C62" s="244">
        <f>'2016-2018 ONS Services Data'!F67</f>
        <v>4.4409999999999998</v>
      </c>
      <c r="D62" s="596">
        <f t="shared" si="3"/>
        <v>8.5139999999999993</v>
      </c>
      <c r="E62" s="254">
        <f t="shared" si="4"/>
        <v>17.396000000000001</v>
      </c>
      <c r="F62" s="6"/>
      <c r="G62" s="229"/>
      <c r="H62" s="202"/>
      <c r="I62" s="228"/>
      <c r="O62" s="18"/>
      <c r="S62" s="6"/>
      <c r="T62" s="33"/>
      <c r="U62" s="33"/>
    </row>
    <row r="63" spans="1:21" x14ac:dyDescent="0.3">
      <c r="A63" s="716" t="s">
        <v>830</v>
      </c>
      <c r="B63" s="244">
        <f>'2016-2018 ONS Services Data'!G63</f>
        <v>13.090999999999999</v>
      </c>
      <c r="C63" s="244">
        <f>'2016-2018 ONS Services Data'!G67</f>
        <v>12.711</v>
      </c>
      <c r="D63" s="596">
        <f t="shared" si="3"/>
        <v>0.37999999999999901</v>
      </c>
      <c r="E63" s="254">
        <f t="shared" si="4"/>
        <v>25.802</v>
      </c>
      <c r="F63" s="226"/>
      <c r="G63" s="229"/>
      <c r="H63" s="202"/>
      <c r="I63" s="228"/>
      <c r="O63" s="18"/>
      <c r="S63" s="6"/>
      <c r="T63" s="33"/>
      <c r="U63" s="33"/>
    </row>
    <row r="64" spans="1:21" x14ac:dyDescent="0.3">
      <c r="A64" s="716" t="s">
        <v>828</v>
      </c>
      <c r="B64" s="244">
        <f>'2016-2018 ONS Services Data'!H63</f>
        <v>9.234</v>
      </c>
      <c r="C64" s="244">
        <f>'2016-2018 ONS Services Data'!H67</f>
        <v>7.2220000000000004</v>
      </c>
      <c r="D64" s="596">
        <f t="shared" si="3"/>
        <v>2.0119999999999996</v>
      </c>
      <c r="E64" s="254">
        <f t="shared" si="4"/>
        <v>16.456</v>
      </c>
      <c r="F64" s="226"/>
      <c r="G64" s="229"/>
      <c r="H64" s="202"/>
      <c r="I64" s="228"/>
      <c r="O64" s="18"/>
      <c r="S64" s="6"/>
      <c r="T64" s="33"/>
      <c r="U64" s="33"/>
    </row>
    <row r="65" spans="1:21" x14ac:dyDescent="0.3">
      <c r="A65" s="716" t="s">
        <v>831</v>
      </c>
      <c r="B65" s="244">
        <f>'2016-2018 ONS Services Data'!I63</f>
        <v>6.3040000000000003</v>
      </c>
      <c r="C65" s="244">
        <f>'2016-2018 ONS Services Data'!I67</f>
        <v>0.8</v>
      </c>
      <c r="D65" s="596">
        <f t="shared" si="3"/>
        <v>5.5040000000000004</v>
      </c>
      <c r="E65" s="254">
        <f t="shared" si="4"/>
        <v>7.1040000000000001</v>
      </c>
      <c r="F65" s="226"/>
      <c r="G65" s="229"/>
      <c r="H65" s="202"/>
      <c r="I65" s="228"/>
      <c r="O65" s="18"/>
      <c r="S65" s="6"/>
      <c r="T65" s="33"/>
      <c r="U65" s="33"/>
    </row>
    <row r="66" spans="1:21" x14ac:dyDescent="0.3">
      <c r="A66" s="716" t="s">
        <v>320</v>
      </c>
      <c r="B66" s="244">
        <f>'2016-2018 ONS Services Data'!J63</f>
        <v>6.0250000000000004</v>
      </c>
      <c r="C66" s="244">
        <f>'2016-2018 ONS Services Data'!J67</f>
        <v>3.387</v>
      </c>
      <c r="D66" s="596">
        <f t="shared" si="3"/>
        <v>2.6380000000000003</v>
      </c>
      <c r="E66" s="254">
        <f t="shared" si="4"/>
        <v>9.4120000000000008</v>
      </c>
      <c r="F66" s="226"/>
      <c r="G66" s="229"/>
      <c r="H66" s="202"/>
      <c r="I66" s="228"/>
      <c r="O66" s="18"/>
      <c r="S66" s="6"/>
      <c r="T66" s="33"/>
      <c r="U66" s="33"/>
    </row>
    <row r="67" spans="1:21" s="465" customFormat="1" x14ac:dyDescent="0.3">
      <c r="A67" s="727" t="s">
        <v>817</v>
      </c>
      <c r="B67" s="728">
        <f>'2016-2018 ONS Services Data'!K63</f>
        <v>8.3460000000000001</v>
      </c>
      <c r="C67" s="728">
        <f>'2016-2018 ONS Services Data'!K67</f>
        <v>5.7469999999999999</v>
      </c>
      <c r="D67" s="729">
        <f>B67-C67</f>
        <v>2.5990000000000002</v>
      </c>
      <c r="E67" s="730">
        <f>B67+C67</f>
        <v>14.093</v>
      </c>
      <c r="F67" s="226"/>
      <c r="G67" s="229"/>
      <c r="H67" s="202"/>
      <c r="I67" s="228"/>
      <c r="O67" s="18"/>
      <c r="S67" s="6"/>
      <c r="T67" s="33"/>
      <c r="U67" s="33"/>
    </row>
    <row r="68" spans="1:21" ht="42" customHeight="1" thickBot="1" x14ac:dyDescent="0.35">
      <c r="A68" s="233"/>
      <c r="B68" s="252"/>
      <c r="C68" s="252"/>
      <c r="D68" s="233"/>
      <c r="E68" s="233"/>
      <c r="F68" s="233"/>
      <c r="G68" s="233"/>
      <c r="H68" s="233"/>
      <c r="I68" s="233"/>
      <c r="J68" s="233"/>
      <c r="N68" s="18"/>
      <c r="R68" s="6"/>
      <c r="S68" s="33"/>
      <c r="T68" s="33"/>
    </row>
    <row r="69" spans="1:21" ht="28.8" x14ac:dyDescent="0.3">
      <c r="A69" s="239" t="s">
        <v>837</v>
      </c>
      <c r="B69" s="240" t="s">
        <v>326</v>
      </c>
      <c r="C69" s="240" t="s">
        <v>324</v>
      </c>
      <c r="D69" s="241" t="s">
        <v>34</v>
      </c>
      <c r="E69" s="241" t="s">
        <v>677</v>
      </c>
      <c r="L69" s="6"/>
      <c r="M69" s="6"/>
      <c r="N69" s="6"/>
      <c r="O69" s="6"/>
      <c r="P69" s="6"/>
      <c r="Q69" s="6"/>
      <c r="R69" s="6"/>
      <c r="S69" s="6"/>
      <c r="T69" s="33"/>
    </row>
    <row r="70" spans="1:21" ht="19.2" customHeight="1" x14ac:dyDescent="0.3">
      <c r="A70" s="242" t="s">
        <v>327</v>
      </c>
      <c r="B70" s="122">
        <f>SUM(B71:B79)</f>
        <v>166.70400000000001</v>
      </c>
      <c r="C70" s="122">
        <f>SUM(C71:C79)</f>
        <v>88.983999999999995</v>
      </c>
      <c r="D70" s="122">
        <f>SUM(D71:D79)</f>
        <v>77.72</v>
      </c>
      <c r="E70" s="253">
        <f>B70+C70</f>
        <v>255.68799999999999</v>
      </c>
      <c r="L70" s="6"/>
      <c r="M70" s="6"/>
      <c r="N70" s="6"/>
      <c r="O70" s="6"/>
      <c r="P70" s="6"/>
      <c r="Q70" s="6"/>
      <c r="R70" s="6"/>
      <c r="S70" s="6"/>
      <c r="T70" s="33"/>
    </row>
    <row r="71" spans="1:21" s="12" customFormat="1" x14ac:dyDescent="0.3">
      <c r="A71" s="247" t="s">
        <v>318</v>
      </c>
      <c r="B71" s="244">
        <f>'2016-2018 ONS Services Data'!C64</f>
        <v>34.67</v>
      </c>
      <c r="C71" s="244">
        <f>'2016-2018 ONS Services Data'!C68</f>
        <v>12.121</v>
      </c>
      <c r="D71" s="596">
        <f t="shared" ref="D71:D79" si="5">B71-C71</f>
        <v>22.548999999999999</v>
      </c>
      <c r="E71" s="254">
        <f>B71+C71</f>
        <v>46.791000000000004</v>
      </c>
      <c r="F71" s="19"/>
      <c r="G71" s="117"/>
      <c r="H71" s="222"/>
      <c r="I71" s="117"/>
      <c r="M71" s="234"/>
      <c r="N71" s="234"/>
      <c r="O71" s="234"/>
      <c r="P71" s="234"/>
      <c r="Q71" s="234"/>
      <c r="R71" s="234"/>
      <c r="S71" s="234"/>
      <c r="T71" s="234"/>
      <c r="U71" s="224"/>
    </row>
    <row r="72" spans="1:21" ht="28.8" x14ac:dyDescent="0.3">
      <c r="A72" s="716" t="s">
        <v>827</v>
      </c>
      <c r="B72" s="244">
        <f>'2016-2018 ONS Services Data'!D64</f>
        <v>23.885000000000002</v>
      </c>
      <c r="C72" s="244">
        <f>'2016-2018 ONS Services Data'!D68</f>
        <v>16.431000000000001</v>
      </c>
      <c r="D72" s="596">
        <f t="shared" si="5"/>
        <v>7.4540000000000006</v>
      </c>
      <c r="E72" s="254">
        <f t="shared" ref="E72:E79" si="6">B72+C72</f>
        <v>40.316000000000003</v>
      </c>
      <c r="F72" s="19"/>
      <c r="G72" s="138"/>
      <c r="H72" s="230"/>
      <c r="I72" s="199"/>
      <c r="M72" s="6"/>
      <c r="N72" s="6"/>
      <c r="O72" s="6"/>
      <c r="P72" s="6"/>
      <c r="Q72" s="6"/>
      <c r="R72" s="6"/>
      <c r="S72" s="6"/>
      <c r="T72" s="6"/>
      <c r="U72" s="33"/>
    </row>
    <row r="73" spans="1:21" x14ac:dyDescent="0.3">
      <c r="A73" s="716" t="s">
        <v>138</v>
      </c>
      <c r="B73" s="244">
        <f>'2016-2018 ONS Services Data'!E64</f>
        <v>21.766999999999999</v>
      </c>
      <c r="C73" s="244">
        <f>'2016-2018 ONS Services Data'!E68</f>
        <v>22.064</v>
      </c>
      <c r="D73" s="596">
        <f t="shared" si="5"/>
        <v>-0.2970000000000006</v>
      </c>
      <c r="E73" s="254">
        <f t="shared" si="6"/>
        <v>43.831000000000003</v>
      </c>
      <c r="F73" s="19"/>
      <c r="G73" s="129"/>
      <c r="H73" s="230"/>
      <c r="I73" s="199"/>
      <c r="O73" s="18"/>
      <c r="S73" s="6"/>
      <c r="T73" s="33"/>
      <c r="U73" s="33"/>
    </row>
    <row r="74" spans="1:21" ht="28.8" x14ac:dyDescent="0.3">
      <c r="A74" s="716" t="s">
        <v>826</v>
      </c>
      <c r="B74" s="726">
        <f>'2016-2018 ONS Services Data'!F64</f>
        <v>19.652999999999999</v>
      </c>
      <c r="C74" s="244">
        <f>'2016-2018 ONS Services Data'!F68</f>
        <v>4.8979999999999997</v>
      </c>
      <c r="D74" s="596">
        <f t="shared" si="5"/>
        <v>14.754999999999999</v>
      </c>
      <c r="E74" s="254">
        <f t="shared" si="6"/>
        <v>24.550999999999998</v>
      </c>
      <c r="F74" s="226"/>
      <c r="G74" s="229"/>
      <c r="H74" s="202"/>
      <c r="I74" s="228"/>
      <c r="O74" s="18"/>
      <c r="S74" s="6"/>
      <c r="T74" s="33"/>
      <c r="U74" s="33"/>
    </row>
    <row r="75" spans="1:21" x14ac:dyDescent="0.3">
      <c r="A75" s="716" t="s">
        <v>830</v>
      </c>
      <c r="B75" s="244">
        <f>'2016-2018 ONS Services Data'!G64</f>
        <v>17.128</v>
      </c>
      <c r="C75" s="244">
        <f>'2016-2018 ONS Services Data'!G68</f>
        <v>11.198</v>
      </c>
      <c r="D75" s="596">
        <f t="shared" si="5"/>
        <v>5.93</v>
      </c>
      <c r="E75" s="254">
        <f t="shared" si="6"/>
        <v>28.326000000000001</v>
      </c>
      <c r="F75" s="226"/>
      <c r="G75" s="229"/>
      <c r="H75" s="202"/>
      <c r="I75" s="228"/>
      <c r="O75" s="18"/>
      <c r="S75" s="6"/>
      <c r="T75" s="33"/>
      <c r="U75" s="33"/>
    </row>
    <row r="76" spans="1:21" x14ac:dyDescent="0.3">
      <c r="A76" s="716" t="s">
        <v>828</v>
      </c>
      <c r="B76" s="244">
        <f>'2016-2018 ONS Services Data'!H64</f>
        <v>11.544</v>
      </c>
      <c r="C76" s="244">
        <f>'2016-2018 ONS Services Data'!H68</f>
        <v>5.6429999999999998</v>
      </c>
      <c r="D76" s="596">
        <f t="shared" si="5"/>
        <v>5.9010000000000007</v>
      </c>
      <c r="E76" s="254">
        <f t="shared" si="6"/>
        <v>17.187000000000001</v>
      </c>
      <c r="F76" s="226"/>
      <c r="G76" s="229"/>
      <c r="H76" s="202"/>
      <c r="I76" s="228"/>
      <c r="O76" s="18"/>
      <c r="S76" s="6"/>
      <c r="T76" s="33"/>
      <c r="U76" s="33"/>
    </row>
    <row r="77" spans="1:21" x14ac:dyDescent="0.3">
      <c r="A77" s="716" t="s">
        <v>831</v>
      </c>
      <c r="B77" s="244">
        <f>'2016-2018 ONS Services Data'!I64</f>
        <v>13.308999999999999</v>
      </c>
      <c r="C77" s="244">
        <f>'2016-2018 ONS Services Data'!I68</f>
        <v>0.97699999999999998</v>
      </c>
      <c r="D77" s="596">
        <f t="shared" si="5"/>
        <v>12.331999999999999</v>
      </c>
      <c r="E77" s="254">
        <f t="shared" si="6"/>
        <v>14.286</v>
      </c>
      <c r="F77" s="226"/>
      <c r="G77" s="229"/>
      <c r="H77" s="202"/>
      <c r="I77" s="228"/>
      <c r="O77" s="18"/>
      <c r="S77" s="6"/>
      <c r="T77" s="33"/>
      <c r="U77" s="33"/>
    </row>
    <row r="78" spans="1:21" x14ac:dyDescent="0.3">
      <c r="A78" s="716" t="s">
        <v>320</v>
      </c>
      <c r="B78" s="244">
        <f>'2016-2018 ONS Services Data'!J64</f>
        <v>11.048999999999999</v>
      </c>
      <c r="C78" s="244">
        <f>'2016-2018 ONS Services Data'!J68</f>
        <v>6.63</v>
      </c>
      <c r="D78" s="596">
        <f t="shared" si="5"/>
        <v>4.4189999999999996</v>
      </c>
      <c r="E78" s="254">
        <f t="shared" si="6"/>
        <v>17.678999999999998</v>
      </c>
      <c r="F78" s="226"/>
      <c r="G78" s="229"/>
      <c r="H78" s="202"/>
      <c r="I78" s="228"/>
      <c r="O78" s="18"/>
      <c r="S78" s="6"/>
      <c r="T78" s="33"/>
      <c r="U78" s="33"/>
    </row>
    <row r="79" spans="1:21" x14ac:dyDescent="0.3">
      <c r="A79" s="727" t="s">
        <v>817</v>
      </c>
      <c r="B79" s="728">
        <f>'2016-2018 ONS Services Data'!K64</f>
        <v>13.699</v>
      </c>
      <c r="C79" s="728">
        <f>'2016-2018 ONS Services Data'!K68</f>
        <v>9.0220000000000002</v>
      </c>
      <c r="D79" s="729">
        <f t="shared" si="5"/>
        <v>4.6769999999999996</v>
      </c>
      <c r="E79" s="730">
        <f t="shared" si="6"/>
        <v>22.721</v>
      </c>
      <c r="F79" s="226"/>
      <c r="G79" s="229"/>
      <c r="H79" s="202"/>
      <c r="I79" s="228"/>
      <c r="O79" s="18"/>
      <c r="S79" s="6"/>
      <c r="T79" s="33"/>
      <c r="U79" s="33"/>
    </row>
    <row r="80" spans="1:21" ht="18" customHeight="1" x14ac:dyDescent="0.3">
      <c r="A80" s="255"/>
      <c r="B80" s="244"/>
      <c r="C80" s="244"/>
      <c r="D80" s="244"/>
      <c r="E80" s="251"/>
      <c r="F80" s="251"/>
      <c r="G80" s="237"/>
      <c r="H80" s="237"/>
      <c r="I80" s="237"/>
      <c r="J80" s="237"/>
      <c r="N80" s="18"/>
      <c r="R80" s="6"/>
      <c r="S80" s="33"/>
      <c r="T80" s="33"/>
    </row>
    <row r="81" spans="1:24" s="465" customFormat="1" ht="18" customHeight="1" x14ac:dyDescent="0.3">
      <c r="A81" s="255"/>
      <c r="B81" s="244"/>
      <c r="C81" s="244"/>
      <c r="D81" s="244"/>
      <c r="E81" s="251"/>
      <c r="F81" s="251"/>
      <c r="G81" s="675"/>
      <c r="H81" s="675"/>
      <c r="I81" s="675"/>
      <c r="J81" s="675"/>
      <c r="N81" s="18"/>
      <c r="R81" s="6"/>
      <c r="S81" s="33"/>
      <c r="T81" s="33"/>
    </row>
    <row r="82" spans="1:24" ht="18" customHeight="1" x14ac:dyDescent="0.3">
      <c r="A82" s="255"/>
      <c r="B82" s="244"/>
      <c r="C82" s="244"/>
      <c r="D82" s="244"/>
      <c r="E82" s="251"/>
      <c r="F82" s="251"/>
      <c r="G82" s="336"/>
      <c r="H82" s="336"/>
      <c r="I82" s="336"/>
      <c r="J82" s="336"/>
      <c r="N82" s="18"/>
      <c r="R82" s="6"/>
      <c r="S82" s="33"/>
      <c r="T82" s="33"/>
    </row>
    <row r="83" spans="1:24" s="6" customFormat="1" ht="21" customHeight="1" x14ac:dyDescent="0.3">
      <c r="A83" s="977" t="s">
        <v>755</v>
      </c>
      <c r="B83" s="977"/>
      <c r="C83" s="977"/>
      <c r="D83" s="977"/>
      <c r="E83" s="977"/>
      <c r="G83" s="19"/>
      <c r="H83" s="19"/>
      <c r="R83" s="19"/>
      <c r="W83" s="94"/>
      <c r="X83" s="94"/>
    </row>
    <row r="84" spans="1:24" s="6" customFormat="1" ht="41.4" customHeight="1" x14ac:dyDescent="0.3">
      <c r="A84" s="981" t="s">
        <v>528</v>
      </c>
      <c r="B84" s="981"/>
      <c r="C84" s="981"/>
      <c r="D84" s="981"/>
      <c r="E84" s="981"/>
      <c r="F84" s="981"/>
      <c r="G84" s="981"/>
      <c r="H84" s="981"/>
      <c r="I84" s="981"/>
      <c r="J84" s="981"/>
      <c r="K84" s="981"/>
      <c r="R84" s="19"/>
      <c r="W84" s="94"/>
      <c r="X84" s="94"/>
    </row>
    <row r="85" spans="1:24" s="6" customFormat="1" ht="33" customHeight="1" x14ac:dyDescent="0.3">
      <c r="A85" s="968" t="s">
        <v>529</v>
      </c>
      <c r="B85" s="968"/>
      <c r="C85" s="968"/>
      <c r="D85" s="968"/>
      <c r="E85" s="968"/>
      <c r="F85" s="968"/>
      <c r="G85" s="968"/>
      <c r="H85" s="968"/>
      <c r="I85" s="968"/>
      <c r="J85" s="968"/>
      <c r="K85" s="968"/>
      <c r="L85" s="968"/>
      <c r="M85" s="968"/>
      <c r="R85" s="19"/>
      <c r="W85" s="94"/>
      <c r="X85" s="94"/>
    </row>
    <row r="86" spans="1:24" s="6" customFormat="1" ht="43.2" x14ac:dyDescent="0.3">
      <c r="A86" s="674" t="s">
        <v>752</v>
      </c>
      <c r="B86" s="113" t="s">
        <v>748</v>
      </c>
      <c r="C86" s="111" t="s">
        <v>749</v>
      </c>
      <c r="D86" s="113" t="s">
        <v>750</v>
      </c>
      <c r="E86" s="141" t="s">
        <v>751</v>
      </c>
      <c r="G86" s="113" t="s">
        <v>754</v>
      </c>
      <c r="H86" s="212" t="s">
        <v>65</v>
      </c>
      <c r="I86" s="209" t="s">
        <v>95</v>
      </c>
      <c r="R86" s="19"/>
      <c r="W86" s="94"/>
      <c r="X86" s="94"/>
    </row>
    <row r="87" spans="1:24" s="6" customFormat="1" x14ac:dyDescent="0.3">
      <c r="A87" s="70" t="s">
        <v>137</v>
      </c>
      <c r="B87" s="137">
        <f>B173</f>
        <v>30.99</v>
      </c>
      <c r="C87" s="119">
        <f>U173</f>
        <v>116.70699999999999</v>
      </c>
      <c r="D87" s="137">
        <f>B119</f>
        <v>46.817362340498271</v>
      </c>
      <c r="E87" s="142">
        <f>C119</f>
        <v>78.57120743567431</v>
      </c>
      <c r="G87" s="70" t="s">
        <v>96</v>
      </c>
      <c r="H87" s="159">
        <f>E118</f>
        <v>1.3411915138765875</v>
      </c>
      <c r="I87" s="213">
        <f>E120</f>
        <v>1.4392186752791696</v>
      </c>
      <c r="L87" s="499"/>
      <c r="R87" s="19"/>
      <c r="W87" s="94"/>
      <c r="X87" s="94"/>
    </row>
    <row r="88" spans="1:24" s="6" customFormat="1" x14ac:dyDescent="0.3">
      <c r="A88" s="143" t="s">
        <v>64</v>
      </c>
      <c r="B88" s="144">
        <f>B166</f>
        <v>61.314016172506733</v>
      </c>
      <c r="C88" s="145">
        <f>U166</f>
        <v>154.78551532033427</v>
      </c>
      <c r="D88" s="144">
        <f>B121</f>
        <v>37.24774720646456</v>
      </c>
      <c r="E88" s="146">
        <f>C121</f>
        <v>79.981664668956753</v>
      </c>
      <c r="G88" s="143" t="s">
        <v>86</v>
      </c>
      <c r="H88" s="188">
        <f>E119</f>
        <v>0.6782493397264312</v>
      </c>
      <c r="I88" s="214">
        <f>E121</f>
        <v>1.1472886460922791</v>
      </c>
      <c r="L88" s="500"/>
      <c r="M88" s="602"/>
      <c r="R88" s="19"/>
      <c r="W88" s="94"/>
      <c r="X88" s="94"/>
    </row>
    <row r="89" spans="1:24" s="6" customFormat="1" ht="15.6" x14ac:dyDescent="0.3">
      <c r="A89" s="97"/>
      <c r="B89" s="20"/>
      <c r="G89" s="19"/>
      <c r="H89" s="19"/>
      <c r="R89" s="19"/>
      <c r="W89" s="94"/>
      <c r="X89" s="94"/>
    </row>
    <row r="90" spans="1:24" s="6" customFormat="1" ht="15.6" x14ac:dyDescent="0.3">
      <c r="A90" s="97"/>
      <c r="B90" s="20"/>
      <c r="G90" s="19"/>
      <c r="H90" s="19"/>
      <c r="R90" s="19"/>
      <c r="W90" s="94"/>
      <c r="X90" s="94"/>
    </row>
    <row r="91" spans="1:24" s="6" customFormat="1" ht="15.6" x14ac:dyDescent="0.3">
      <c r="A91" s="97"/>
      <c r="B91" s="20"/>
      <c r="G91" s="19"/>
      <c r="H91" s="19"/>
      <c r="R91" s="19"/>
      <c r="W91" s="94"/>
      <c r="X91" s="94"/>
    </row>
    <row r="92" spans="1:24" s="6" customFormat="1" ht="15.6" x14ac:dyDescent="0.3">
      <c r="A92" s="97"/>
      <c r="B92" s="20"/>
      <c r="G92" s="19"/>
      <c r="H92" s="19"/>
      <c r="R92" s="19"/>
      <c r="W92" s="94"/>
      <c r="X92" s="94"/>
    </row>
    <row r="93" spans="1:24" s="6" customFormat="1" ht="15.6" x14ac:dyDescent="0.3">
      <c r="A93" s="97"/>
      <c r="B93" s="20"/>
      <c r="G93" s="19"/>
      <c r="H93" s="19"/>
      <c r="R93" s="19"/>
      <c r="W93" s="94"/>
      <c r="X93" s="94"/>
    </row>
    <row r="94" spans="1:24" s="6" customFormat="1" ht="15.6" x14ac:dyDescent="0.3">
      <c r="A94" s="97"/>
      <c r="B94" s="20"/>
      <c r="F94" s="91"/>
      <c r="G94" s="19"/>
      <c r="H94" s="19"/>
      <c r="R94" s="19"/>
      <c r="W94" s="94"/>
      <c r="X94" s="94"/>
    </row>
    <row r="95" spans="1:24" x14ac:dyDescent="0.3">
      <c r="A95" s="6"/>
      <c r="B95" s="6"/>
      <c r="C95" s="6"/>
      <c r="G95" s="56"/>
      <c r="H95" s="56"/>
    </row>
    <row r="96" spans="1:24" ht="28.2" customHeight="1" x14ac:dyDescent="0.3">
      <c r="A96" s="6"/>
      <c r="B96" s="6"/>
      <c r="C96" s="6"/>
      <c r="G96" s="20"/>
      <c r="H96" s="20"/>
    </row>
    <row r="97" spans="1:23" ht="25.2" customHeight="1" x14ac:dyDescent="0.3">
      <c r="A97" s="6"/>
      <c r="B97" s="6"/>
      <c r="C97" s="6"/>
      <c r="D97" s="34"/>
      <c r="G97" s="20"/>
      <c r="H97" s="20"/>
      <c r="V97" s="91" t="s">
        <v>102</v>
      </c>
    </row>
    <row r="98" spans="1:23" ht="25.2" customHeight="1" x14ac:dyDescent="0.3">
      <c r="A98" s="6"/>
      <c r="B98" s="6"/>
      <c r="C98" s="6"/>
      <c r="D98" s="69"/>
      <c r="E98" s="35"/>
      <c r="F98" s="35"/>
    </row>
    <row r="99" spans="1:23" ht="25.2" customHeight="1" x14ac:dyDescent="0.3">
      <c r="B99" s="34"/>
      <c r="C99" s="34"/>
      <c r="D99" s="69"/>
      <c r="E99" s="35"/>
      <c r="F99" s="35"/>
      <c r="V99" s="91" t="s">
        <v>149</v>
      </c>
      <c r="W99" s="91" t="s">
        <v>150</v>
      </c>
    </row>
    <row r="100" spans="1:23" ht="25.2" customHeight="1" x14ac:dyDescent="0.3">
      <c r="B100" s="34"/>
      <c r="C100" s="34"/>
      <c r="D100" s="69"/>
      <c r="E100" s="35"/>
      <c r="F100" s="35"/>
    </row>
    <row r="101" spans="1:23" ht="25.2" customHeight="1" x14ac:dyDescent="0.3">
      <c r="A101" s="198" t="s">
        <v>474</v>
      </c>
      <c r="B101" s="34"/>
      <c r="C101" s="34"/>
      <c r="D101" s="69"/>
      <c r="E101" s="35"/>
      <c r="F101" s="35"/>
    </row>
    <row r="102" spans="1:23" ht="24.6" customHeight="1" x14ac:dyDescent="0.3">
      <c r="A102" s="210" t="s">
        <v>717</v>
      </c>
      <c r="B102" s="126" t="s">
        <v>137</v>
      </c>
      <c r="C102" s="126" t="s">
        <v>133</v>
      </c>
    </row>
    <row r="103" spans="1:23" ht="28.2" customHeight="1" x14ac:dyDescent="0.3">
      <c r="A103" s="131" t="s">
        <v>84</v>
      </c>
      <c r="B103" s="118">
        <f>F118</f>
        <v>5.1311910835426966E-2</v>
      </c>
      <c r="C103" s="466">
        <f>F120</f>
        <v>5.3851589948424872E-2</v>
      </c>
    </row>
    <row r="104" spans="1:23" ht="25.2" customHeight="1" x14ac:dyDescent="0.3">
      <c r="A104" s="131" t="s">
        <v>86</v>
      </c>
      <c r="B104" s="118">
        <f>F119</f>
        <v>3.0924479275734384E-2</v>
      </c>
      <c r="C104" s="118">
        <f>F121</f>
        <v>4.5979002408236269E-2</v>
      </c>
      <c r="U104" s="91" t="s">
        <v>102</v>
      </c>
    </row>
    <row r="105" spans="1:23" ht="25.2" customHeight="1" x14ac:dyDescent="0.3">
      <c r="A105" s="69"/>
      <c r="B105" s="115"/>
      <c r="C105" s="63"/>
    </row>
    <row r="106" spans="1:23" ht="25.2" customHeight="1" x14ac:dyDescent="0.3">
      <c r="A106" s="69"/>
      <c r="B106" s="115"/>
      <c r="C106" s="63"/>
    </row>
    <row r="107" spans="1:23" ht="25.2" customHeight="1" x14ac:dyDescent="0.3">
      <c r="A107" s="69"/>
      <c r="B107" s="115"/>
      <c r="C107" s="63"/>
    </row>
    <row r="108" spans="1:23" ht="25.2" customHeight="1" x14ac:dyDescent="0.3">
      <c r="A108" s="978" t="s">
        <v>475</v>
      </c>
      <c r="B108" s="978"/>
      <c r="C108" s="978"/>
      <c r="D108" s="978"/>
      <c r="E108" s="35"/>
      <c r="F108" s="35"/>
    </row>
    <row r="109" spans="1:23" ht="25.2" customHeight="1" x14ac:dyDescent="0.3">
      <c r="A109" s="210" t="s">
        <v>181</v>
      </c>
      <c r="B109" s="126">
        <v>1999</v>
      </c>
      <c r="C109" s="126">
        <v>2018</v>
      </c>
      <c r="D109" s="69"/>
      <c r="E109" s="35"/>
      <c r="F109" s="35"/>
      <c r="V109" s="91" t="s">
        <v>149</v>
      </c>
      <c r="W109" s="91" t="s">
        <v>150</v>
      </c>
    </row>
    <row r="110" spans="1:23" ht="25.2" customHeight="1" x14ac:dyDescent="0.3">
      <c r="A110" s="132" t="s">
        <v>205</v>
      </c>
      <c r="B110" s="169">
        <f>B118/(B120+B118)</f>
        <v>0.41100096949782206</v>
      </c>
      <c r="C110" s="169">
        <f>C118/(C120+C118)</f>
        <v>0.40110891767067786</v>
      </c>
      <c r="D110" s="69"/>
      <c r="E110" s="35"/>
      <c r="F110" s="35"/>
    </row>
    <row r="111" spans="1:23" ht="25.2" customHeight="1" x14ac:dyDescent="0.3">
      <c r="A111" s="132" t="s">
        <v>206</v>
      </c>
      <c r="B111" s="169">
        <f>B119/(B121+B119)</f>
        <v>0.5569178770217843</v>
      </c>
      <c r="C111" s="169">
        <f>C119/(C121+C119)</f>
        <v>0.49555209182098048</v>
      </c>
    </row>
    <row r="112" spans="1:23" x14ac:dyDescent="0.3">
      <c r="B112" s="19"/>
      <c r="D112" s="6"/>
    </row>
    <row r="113" spans="1:43" x14ac:dyDescent="0.3">
      <c r="B113" s="19"/>
      <c r="D113" s="6"/>
    </row>
    <row r="114" spans="1:43" x14ac:dyDescent="0.3">
      <c r="B114" s="19"/>
      <c r="D114" s="6"/>
    </row>
    <row r="115" spans="1:43" x14ac:dyDescent="0.3">
      <c r="B115" s="19"/>
      <c r="D115" s="6"/>
    </row>
    <row r="116" spans="1:43" x14ac:dyDescent="0.3">
      <c r="A116" s="6" t="s">
        <v>476</v>
      </c>
      <c r="B116" s="19"/>
      <c r="D116" s="6"/>
    </row>
    <row r="117" spans="1:43" ht="28.8" x14ac:dyDescent="0.3">
      <c r="A117" s="208" t="s">
        <v>282</v>
      </c>
      <c r="B117" s="117" t="s">
        <v>477</v>
      </c>
      <c r="C117" s="117" t="s">
        <v>691</v>
      </c>
      <c r="D117" s="209" t="s">
        <v>187</v>
      </c>
      <c r="E117" s="209" t="s">
        <v>74</v>
      </c>
      <c r="F117" s="117" t="s">
        <v>753</v>
      </c>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row>
    <row r="118" spans="1:43" s="48" customFormat="1" x14ac:dyDescent="0.3">
      <c r="A118" s="135" t="s">
        <v>70</v>
      </c>
      <c r="B118" s="136">
        <f>SUM(B161:D161)/3</f>
        <v>44.919631301709693</v>
      </c>
      <c r="C118" s="136">
        <f>SUM(S161:U161)/3</f>
        <v>105.16545961002787</v>
      </c>
      <c r="D118" s="155">
        <f>C118-B118</f>
        <v>60.245828308318174</v>
      </c>
      <c r="E118" s="118">
        <f>D118/B118</f>
        <v>1.3411915138765875</v>
      </c>
      <c r="F118" s="118">
        <f>((C118/B118)^(1/17))-1</f>
        <v>5.1311910835426966E-2</v>
      </c>
      <c r="G118" s="44"/>
      <c r="H118" s="44"/>
      <c r="I118" s="44"/>
      <c r="J118" s="44"/>
      <c r="K118" s="44"/>
      <c r="L118" s="44"/>
      <c r="M118" s="116"/>
      <c r="N118" s="44"/>
      <c r="O118" s="114"/>
      <c r="P118" s="44"/>
      <c r="Q118" s="44"/>
      <c r="R118" s="114"/>
      <c r="S118" s="167"/>
      <c r="T118" s="44"/>
      <c r="U118" s="44"/>
      <c r="V118" s="44"/>
      <c r="W118" s="44"/>
      <c r="X118" s="44"/>
      <c r="Y118" s="44"/>
      <c r="Z118" s="168"/>
      <c r="AA118" s="44"/>
      <c r="AB118" s="44"/>
      <c r="AC118" s="44"/>
      <c r="AD118" s="44"/>
      <c r="AE118" s="44"/>
      <c r="AF118" s="44"/>
      <c r="AG118" s="44"/>
      <c r="AH118" s="44"/>
      <c r="AI118" s="44"/>
      <c r="AJ118" s="44"/>
      <c r="AK118" s="44"/>
      <c r="AL118" s="44"/>
      <c r="AM118" s="44"/>
      <c r="AN118" s="44"/>
      <c r="AO118" s="44"/>
      <c r="AP118" s="44"/>
      <c r="AQ118" s="44"/>
    </row>
    <row r="119" spans="1:43" x14ac:dyDescent="0.3">
      <c r="A119" s="135" t="s">
        <v>71</v>
      </c>
      <c r="B119" s="136">
        <f>SUM(B162:D162)/3</f>
        <v>46.817362340498271</v>
      </c>
      <c r="C119" s="136">
        <f>SUM(S162:U162)/3</f>
        <v>78.57120743567431</v>
      </c>
      <c r="D119" s="155">
        <f>C119-B119</f>
        <v>31.75384509517604</v>
      </c>
      <c r="E119" s="118">
        <f>D119/B119</f>
        <v>0.6782493397264312</v>
      </c>
      <c r="F119" s="118">
        <f>((C119/B119)^(1/17))-1</f>
        <v>3.0924479275734384E-2</v>
      </c>
      <c r="G119" s="44"/>
      <c r="H119" s="44"/>
      <c r="I119" s="44"/>
      <c r="J119" s="44"/>
      <c r="K119" s="44"/>
      <c r="L119" s="44"/>
      <c r="M119" s="116"/>
      <c r="N119" s="44"/>
      <c r="O119" s="114"/>
      <c r="P119" s="44"/>
      <c r="Q119" s="44"/>
      <c r="R119" s="114"/>
      <c r="S119" s="167"/>
      <c r="T119" s="44"/>
      <c r="U119" s="44"/>
      <c r="V119" s="44"/>
      <c r="W119" s="44"/>
      <c r="X119" s="44"/>
      <c r="Y119" s="44"/>
      <c r="Z119" s="168"/>
      <c r="AA119" s="44"/>
      <c r="AB119" s="44"/>
      <c r="AC119" s="44"/>
      <c r="AD119" s="44"/>
      <c r="AE119" s="44"/>
      <c r="AF119" s="44"/>
      <c r="AG119" s="44"/>
      <c r="AH119" s="44"/>
      <c r="AI119" s="44"/>
      <c r="AJ119" s="44"/>
      <c r="AK119" s="44"/>
      <c r="AL119" s="44"/>
      <c r="AM119" s="44"/>
      <c r="AN119" s="44"/>
      <c r="AO119" s="44"/>
      <c r="AP119" s="44"/>
      <c r="AQ119" s="44"/>
    </row>
    <row r="120" spans="1:43" x14ac:dyDescent="0.3">
      <c r="A120" s="135" t="s">
        <v>72</v>
      </c>
      <c r="B120" s="136">
        <f>SUM(B166:D166)/3</f>
        <v>64.373617705937065</v>
      </c>
      <c r="C120" s="136">
        <f>SUM(S166:U166)/3</f>
        <v>157.02133050360351</v>
      </c>
      <c r="D120" s="155">
        <f>C120-B120</f>
        <v>92.647712797666443</v>
      </c>
      <c r="E120" s="118">
        <f>D120/B120</f>
        <v>1.4392186752791696</v>
      </c>
      <c r="F120" s="118">
        <f>((C120/B120)^(1/17))-1</f>
        <v>5.3851589948424872E-2</v>
      </c>
      <c r="M120" s="9"/>
      <c r="O120" s="11"/>
      <c r="R120" s="11"/>
      <c r="S120" s="10"/>
      <c r="Z120" s="22"/>
    </row>
    <row r="121" spans="1:43" x14ac:dyDescent="0.3">
      <c r="A121" s="135" t="s">
        <v>73</v>
      </c>
      <c r="B121" s="136">
        <f>SUM(B167:D167)/3</f>
        <v>37.24774720646456</v>
      </c>
      <c r="C121" s="136">
        <f>SUM(S167:U167)/3</f>
        <v>79.981664668956753</v>
      </c>
      <c r="D121" s="155">
        <f>C121-B121</f>
        <v>42.733917462492194</v>
      </c>
      <c r="E121" s="118">
        <f>D121/B121</f>
        <v>1.1472886460922791</v>
      </c>
      <c r="F121" s="118">
        <f>((C121/B121)^(1/17))-1</f>
        <v>4.5979002408236269E-2</v>
      </c>
      <c r="M121" s="9"/>
      <c r="O121" s="11"/>
      <c r="R121" s="11"/>
      <c r="S121" s="10"/>
      <c r="Z121" s="22"/>
    </row>
    <row r="122" spans="1:43" x14ac:dyDescent="0.3">
      <c r="B122" s="19"/>
      <c r="D122" s="6"/>
    </row>
    <row r="123" spans="1:43" ht="18" x14ac:dyDescent="0.35">
      <c r="A123" s="201" t="s">
        <v>842</v>
      </c>
      <c r="B123" s="19"/>
      <c r="D123" s="6"/>
    </row>
    <row r="124" spans="1:43" x14ac:dyDescent="0.3">
      <c r="A124" s="6"/>
      <c r="B124" s="19"/>
      <c r="D124" s="6"/>
    </row>
    <row r="125" spans="1:43" x14ac:dyDescent="0.3">
      <c r="A125" s="6"/>
      <c r="B125" s="19"/>
      <c r="D125" s="6"/>
    </row>
    <row r="126" spans="1:43" x14ac:dyDescent="0.3">
      <c r="A126" s="6"/>
      <c r="B126" s="19"/>
      <c r="D126" s="6"/>
    </row>
    <row r="127" spans="1:43" x14ac:dyDescent="0.3">
      <c r="A127" s="6"/>
      <c r="B127" s="19"/>
      <c r="D127" s="6"/>
    </row>
    <row r="128" spans="1:43" x14ac:dyDescent="0.3">
      <c r="A128" s="6"/>
      <c r="B128" s="19"/>
      <c r="D128" s="6"/>
    </row>
    <row r="129" spans="1:21" x14ac:dyDescent="0.3">
      <c r="A129" s="6"/>
      <c r="B129" s="19"/>
      <c r="D129" s="6"/>
    </row>
    <row r="130" spans="1:21" x14ac:dyDescent="0.3">
      <c r="A130" s="6"/>
      <c r="B130" s="19"/>
      <c r="D130" s="6"/>
    </row>
    <row r="131" spans="1:21" x14ac:dyDescent="0.3">
      <c r="A131" s="6"/>
      <c r="B131" s="19"/>
      <c r="D131" s="6"/>
    </row>
    <row r="132" spans="1:21" x14ac:dyDescent="0.3">
      <c r="A132" s="6"/>
      <c r="B132" s="19"/>
      <c r="D132" s="6"/>
    </row>
    <row r="133" spans="1:21" x14ac:dyDescent="0.3">
      <c r="A133" s="6"/>
      <c r="B133" s="19"/>
      <c r="D133" s="6"/>
    </row>
    <row r="134" spans="1:21" x14ac:dyDescent="0.3">
      <c r="A134" s="6"/>
      <c r="B134" s="19"/>
      <c r="D134" s="6"/>
    </row>
    <row r="135" spans="1:21" x14ac:dyDescent="0.3">
      <c r="A135" s="6"/>
      <c r="B135" s="19"/>
      <c r="D135" s="6"/>
    </row>
    <row r="136" spans="1:21" x14ac:dyDescent="0.3">
      <c r="A136" s="6"/>
      <c r="B136" s="19"/>
      <c r="D136" s="6"/>
    </row>
    <row r="137" spans="1:21" x14ac:dyDescent="0.3">
      <c r="A137" s="6"/>
      <c r="B137" s="19"/>
      <c r="D137" s="6"/>
    </row>
    <row r="138" spans="1:21" s="110" customFormat="1" x14ac:dyDescent="0.3">
      <c r="A138" s="182" t="s">
        <v>48</v>
      </c>
      <c r="B138" s="203">
        <v>1999</v>
      </c>
      <c r="C138" s="105">
        <v>2000</v>
      </c>
      <c r="D138" s="105">
        <v>2001</v>
      </c>
      <c r="E138" s="105">
        <v>2002</v>
      </c>
      <c r="F138" s="105">
        <v>2003</v>
      </c>
      <c r="G138" s="105">
        <v>2004</v>
      </c>
      <c r="H138" s="105">
        <v>2005</v>
      </c>
      <c r="I138" s="105">
        <v>2006</v>
      </c>
      <c r="J138" s="105">
        <v>2007</v>
      </c>
      <c r="K138" s="105">
        <v>2008</v>
      </c>
      <c r="L138" s="105">
        <v>2009</v>
      </c>
      <c r="M138" s="105">
        <v>2010</v>
      </c>
      <c r="N138" s="105">
        <v>2011</v>
      </c>
      <c r="O138" s="105">
        <v>2012</v>
      </c>
      <c r="P138" s="105">
        <v>2013</v>
      </c>
      <c r="Q138" s="105">
        <v>2014</v>
      </c>
      <c r="R138" s="105">
        <v>2015</v>
      </c>
      <c r="S138" s="105">
        <v>2016</v>
      </c>
      <c r="T138" s="105">
        <v>2017</v>
      </c>
      <c r="U138" s="105">
        <v>2018</v>
      </c>
    </row>
    <row r="139" spans="1:21" s="48" customFormat="1" x14ac:dyDescent="0.3">
      <c r="A139" s="205" t="s">
        <v>315</v>
      </c>
      <c r="B139" s="326">
        <f>B161</f>
        <v>41.7654986522911</v>
      </c>
      <c r="C139" s="326">
        <f>C161</f>
        <v>44.389473684210522</v>
      </c>
      <c r="D139" s="326">
        <f t="shared" ref="D139:S139" si="7">D161</f>
        <v>48.603921568627456</v>
      </c>
      <c r="E139" s="326">
        <f t="shared" si="7"/>
        <v>50.888594164456229</v>
      </c>
      <c r="F139" s="326">
        <f t="shared" si="7"/>
        <v>56.381201044386437</v>
      </c>
      <c r="G139" s="326">
        <f t="shared" si="7"/>
        <v>61.660526315789475</v>
      </c>
      <c r="H139" s="326">
        <f t="shared" si="7"/>
        <v>69.909669211195933</v>
      </c>
      <c r="I139" s="326">
        <f t="shared" si="7"/>
        <v>74.885143570536826</v>
      </c>
      <c r="J139" s="326">
        <f t="shared" si="7"/>
        <v>83.679292929292927</v>
      </c>
      <c r="K139" s="326">
        <f t="shared" si="7"/>
        <v>80.49712313003451</v>
      </c>
      <c r="L139" s="326">
        <f t="shared" si="7"/>
        <v>78.159645232815961</v>
      </c>
      <c r="M139" s="326">
        <f t="shared" si="7"/>
        <v>77.950474183350877</v>
      </c>
      <c r="N139" s="326">
        <f t="shared" si="7"/>
        <v>80.67735470941885</v>
      </c>
      <c r="O139" s="326">
        <f t="shared" si="7"/>
        <v>83.500503524672709</v>
      </c>
      <c r="P139" s="326">
        <f t="shared" si="7"/>
        <v>79.751724137931035</v>
      </c>
      <c r="Q139" s="326">
        <f t="shared" si="7"/>
        <v>91.899594320486813</v>
      </c>
      <c r="R139" s="326">
        <f t="shared" si="7"/>
        <v>96.975609756097555</v>
      </c>
      <c r="S139" s="326">
        <f t="shared" si="7"/>
        <v>97.74</v>
      </c>
      <c r="T139" s="184">
        <v>108.23099999999999</v>
      </c>
      <c r="U139" s="326">
        <f>U161</f>
        <v>108.36304549675023</v>
      </c>
    </row>
    <row r="140" spans="1:21" s="48" customFormat="1" x14ac:dyDescent="0.3">
      <c r="A140" s="206" t="s">
        <v>316</v>
      </c>
      <c r="B140" s="328">
        <f>B166</f>
        <v>61.314016172506733</v>
      </c>
      <c r="C140" s="328">
        <f>C166</f>
        <v>64.046052631578945</v>
      </c>
      <c r="D140" s="328">
        <f t="shared" ref="D140:S140" si="8">D166</f>
        <v>67.760784313725495</v>
      </c>
      <c r="E140" s="328">
        <f t="shared" si="8"/>
        <v>73.372679045092838</v>
      </c>
      <c r="F140" s="328">
        <f t="shared" si="8"/>
        <v>81.031331592689313</v>
      </c>
      <c r="G140" s="328">
        <f t="shared" si="8"/>
        <v>90.548684210526304</v>
      </c>
      <c r="H140" s="328">
        <f t="shared" si="8"/>
        <v>95.835877862595424</v>
      </c>
      <c r="I140" s="328">
        <f t="shared" si="8"/>
        <v>108.57677902621724</v>
      </c>
      <c r="J140" s="328">
        <f t="shared" si="8"/>
        <v>119.36489898989899</v>
      </c>
      <c r="K140" s="328">
        <f t="shared" si="8"/>
        <v>115.31185270425776</v>
      </c>
      <c r="L140" s="328">
        <f t="shared" si="8"/>
        <v>115.47117516629712</v>
      </c>
      <c r="M140" s="328">
        <f t="shared" si="8"/>
        <v>111.77555321390938</v>
      </c>
      <c r="N140" s="328">
        <f t="shared" si="8"/>
        <v>116.5691382765531</v>
      </c>
      <c r="O140" s="328">
        <f t="shared" si="8"/>
        <v>123.30110775427997</v>
      </c>
      <c r="P140" s="328">
        <f t="shared" si="8"/>
        <v>140.08669950738917</v>
      </c>
      <c r="Q140" s="328">
        <f t="shared" si="8"/>
        <v>138.50202839756591</v>
      </c>
      <c r="R140" s="328">
        <f t="shared" si="8"/>
        <v>149.95758218451749</v>
      </c>
      <c r="S140" s="328">
        <f t="shared" si="8"/>
        <v>160.148</v>
      </c>
      <c r="T140" s="673">
        <f>T166</f>
        <v>156.1304761904762</v>
      </c>
      <c r="U140" s="328">
        <f>U166</f>
        <v>154.78551532033427</v>
      </c>
    </row>
    <row r="141" spans="1:21" ht="13.2" customHeight="1" x14ac:dyDescent="0.3">
      <c r="A141" s="6" t="s">
        <v>193</v>
      </c>
      <c r="B141" s="55">
        <f>B139+B140</f>
        <v>103.07951482479783</v>
      </c>
      <c r="C141" s="55">
        <f>C139+C140</f>
        <v>108.43552631578947</v>
      </c>
      <c r="D141" s="55">
        <f t="shared" ref="D141:T141" si="9">D139+D140</f>
        <v>116.36470588235295</v>
      </c>
      <c r="E141" s="55">
        <f t="shared" si="9"/>
        <v>124.26127320954907</v>
      </c>
      <c r="F141" s="55">
        <f t="shared" si="9"/>
        <v>137.41253263707574</v>
      </c>
      <c r="G141" s="55">
        <f t="shared" si="9"/>
        <v>152.20921052631579</v>
      </c>
      <c r="H141" s="55">
        <f t="shared" si="9"/>
        <v>165.74554707379136</v>
      </c>
      <c r="I141" s="55">
        <f t="shared" si="9"/>
        <v>183.46192259675405</v>
      </c>
      <c r="J141" s="55">
        <f t="shared" si="9"/>
        <v>203.04419191919192</v>
      </c>
      <c r="K141" s="55">
        <f t="shared" si="9"/>
        <v>195.80897583429226</v>
      </c>
      <c r="L141" s="55">
        <f t="shared" si="9"/>
        <v>193.63082039911308</v>
      </c>
      <c r="M141" s="55">
        <f t="shared" si="9"/>
        <v>189.72602739726025</v>
      </c>
      <c r="N141" s="55">
        <f t="shared" si="9"/>
        <v>197.24649298597194</v>
      </c>
      <c r="O141" s="55">
        <f t="shared" si="9"/>
        <v>206.80161127895269</v>
      </c>
      <c r="P141" s="55">
        <f t="shared" si="9"/>
        <v>219.8384236453202</v>
      </c>
      <c r="Q141" s="55">
        <f t="shared" si="9"/>
        <v>230.40162271805272</v>
      </c>
      <c r="R141" s="55">
        <f t="shared" si="9"/>
        <v>246.93319194061505</v>
      </c>
      <c r="S141" s="55">
        <f t="shared" si="9"/>
        <v>257.88799999999998</v>
      </c>
      <c r="T141" s="55">
        <f t="shared" si="9"/>
        <v>264.3614761904762</v>
      </c>
      <c r="U141" s="55">
        <f>U139+U140</f>
        <v>263.1485608170845</v>
      </c>
    </row>
    <row r="142" spans="1:21" ht="13.2" customHeight="1" x14ac:dyDescent="0.3">
      <c r="A142" s="6"/>
      <c r="B142" s="19"/>
      <c r="D142" s="6"/>
    </row>
    <row r="143" spans="1:21" ht="13.2" customHeight="1" x14ac:dyDescent="0.3">
      <c r="A143" s="6"/>
      <c r="B143" s="19"/>
      <c r="D143" s="6"/>
    </row>
    <row r="144" spans="1:21" ht="13.2" customHeight="1" x14ac:dyDescent="0.3">
      <c r="A144" s="6"/>
      <c r="B144" s="19"/>
      <c r="D144" s="6"/>
    </row>
    <row r="145" spans="1:21" ht="13.2" customHeight="1" x14ac:dyDescent="0.3">
      <c r="A145" s="6"/>
      <c r="B145" s="19"/>
      <c r="D145" s="6"/>
    </row>
    <row r="146" spans="1:21" x14ac:dyDescent="0.3">
      <c r="A146" s="6"/>
      <c r="B146" s="19"/>
      <c r="D146" s="6"/>
    </row>
    <row r="147" spans="1:21" x14ac:dyDescent="0.3">
      <c r="A147" s="6"/>
      <c r="B147" s="19"/>
      <c r="D147" s="6"/>
    </row>
    <row r="148" spans="1:21" x14ac:dyDescent="0.3">
      <c r="A148" s="6"/>
      <c r="B148" s="19"/>
      <c r="D148" s="6"/>
    </row>
    <row r="149" spans="1:21" x14ac:dyDescent="0.3">
      <c r="A149" s="6"/>
      <c r="B149" s="19"/>
      <c r="D149" s="6"/>
    </row>
    <row r="150" spans="1:21" x14ac:dyDescent="0.3">
      <c r="A150" s="6"/>
      <c r="B150" s="19"/>
      <c r="D150" s="6"/>
    </row>
    <row r="151" spans="1:21" x14ac:dyDescent="0.3">
      <c r="A151" s="6"/>
      <c r="B151" s="19"/>
      <c r="D151" s="6"/>
    </row>
    <row r="152" spans="1:21" x14ac:dyDescent="0.3">
      <c r="A152" s="6"/>
      <c r="B152" s="19"/>
      <c r="D152" s="6"/>
    </row>
    <row r="153" spans="1:21" x14ac:dyDescent="0.3">
      <c r="A153" s="6"/>
      <c r="B153" s="19"/>
      <c r="D153" s="6"/>
    </row>
    <row r="154" spans="1:21" x14ac:dyDescent="0.3">
      <c r="A154" s="6"/>
      <c r="B154" s="19"/>
      <c r="D154" s="6"/>
    </row>
    <row r="155" spans="1:21" x14ac:dyDescent="0.3">
      <c r="A155" s="6"/>
      <c r="B155" s="19"/>
      <c r="D155" s="6"/>
    </row>
    <row r="156" spans="1:21" x14ac:dyDescent="0.3">
      <c r="A156" s="6"/>
      <c r="B156" s="19"/>
      <c r="D156" s="6"/>
    </row>
    <row r="157" spans="1:21" x14ac:dyDescent="0.3">
      <c r="B157" s="19"/>
      <c r="D157" s="6"/>
    </row>
    <row r="158" spans="1:21" s="6" customFormat="1" ht="18" x14ac:dyDescent="0.35">
      <c r="A158" s="201" t="s">
        <v>747</v>
      </c>
    </row>
    <row r="159" spans="1:21" s="6" customFormat="1" x14ac:dyDescent="0.3">
      <c r="A159" s="6" t="s">
        <v>463</v>
      </c>
    </row>
    <row r="160" spans="1:21" s="110" customFormat="1" x14ac:dyDescent="0.3">
      <c r="A160" s="182" t="s">
        <v>48</v>
      </c>
      <c r="B160" s="203">
        <v>1999</v>
      </c>
      <c r="C160" s="105">
        <v>2000</v>
      </c>
      <c r="D160" s="105">
        <v>2001</v>
      </c>
      <c r="E160" s="105">
        <v>2002</v>
      </c>
      <c r="F160" s="105">
        <v>2003</v>
      </c>
      <c r="G160" s="105">
        <v>2004</v>
      </c>
      <c r="H160" s="105">
        <v>2005</v>
      </c>
      <c r="I160" s="105">
        <v>2006</v>
      </c>
      <c r="J160" s="105">
        <v>2007</v>
      </c>
      <c r="K160" s="105">
        <v>2008</v>
      </c>
      <c r="L160" s="105">
        <v>2009</v>
      </c>
      <c r="M160" s="105">
        <v>2010</v>
      </c>
      <c r="N160" s="105">
        <v>2011</v>
      </c>
      <c r="O160" s="105">
        <v>2012</v>
      </c>
      <c r="P160" s="105">
        <v>2013</v>
      </c>
      <c r="Q160" s="105">
        <v>2014</v>
      </c>
      <c r="R160" s="105">
        <v>2015</v>
      </c>
      <c r="S160" s="105">
        <v>2016</v>
      </c>
      <c r="T160" s="105">
        <v>2017</v>
      </c>
      <c r="U160" s="105">
        <v>2018</v>
      </c>
    </row>
    <row r="161" spans="1:26" s="48" customFormat="1" x14ac:dyDescent="0.3">
      <c r="A161" s="205" t="s">
        <v>315</v>
      </c>
      <c r="B161" s="326">
        <f>B173/B191</f>
        <v>41.7654986522911</v>
      </c>
      <c r="C161" s="326">
        <f>C173/C191</f>
        <v>44.389473684210522</v>
      </c>
      <c r="D161" s="326">
        <f t="shared" ref="D161:U161" si="10">D173/D191</f>
        <v>48.603921568627456</v>
      </c>
      <c r="E161" s="326">
        <f t="shared" si="10"/>
        <v>50.888594164456229</v>
      </c>
      <c r="F161" s="326">
        <f t="shared" si="10"/>
        <v>56.381201044386437</v>
      </c>
      <c r="G161" s="326">
        <f t="shared" si="10"/>
        <v>61.660526315789475</v>
      </c>
      <c r="H161" s="326">
        <f t="shared" si="10"/>
        <v>69.909669211195933</v>
      </c>
      <c r="I161" s="326">
        <f t="shared" si="10"/>
        <v>74.885143570536826</v>
      </c>
      <c r="J161" s="326">
        <f t="shared" si="10"/>
        <v>83.679292929292927</v>
      </c>
      <c r="K161" s="326">
        <f t="shared" si="10"/>
        <v>80.49712313003451</v>
      </c>
      <c r="L161" s="326">
        <f t="shared" si="10"/>
        <v>78.159645232815961</v>
      </c>
      <c r="M161" s="326">
        <f t="shared" si="10"/>
        <v>77.950474183350877</v>
      </c>
      <c r="N161" s="326">
        <f t="shared" si="10"/>
        <v>80.67735470941885</v>
      </c>
      <c r="O161" s="326">
        <f t="shared" si="10"/>
        <v>83.500503524672709</v>
      </c>
      <c r="P161" s="326">
        <f t="shared" si="10"/>
        <v>79.751724137931035</v>
      </c>
      <c r="Q161" s="326">
        <f t="shared" si="10"/>
        <v>91.899594320486813</v>
      </c>
      <c r="R161" s="326">
        <f t="shared" si="10"/>
        <v>96.975609756097555</v>
      </c>
      <c r="S161" s="326">
        <f t="shared" si="10"/>
        <v>97.74</v>
      </c>
      <c r="T161" s="326">
        <f t="shared" si="10"/>
        <v>109.39333333333333</v>
      </c>
      <c r="U161" s="326">
        <f t="shared" si="10"/>
        <v>108.36304549675023</v>
      </c>
    </row>
    <row r="162" spans="1:26" x14ac:dyDescent="0.3">
      <c r="A162" s="51" t="s">
        <v>435</v>
      </c>
      <c r="B162" s="133">
        <f>B174/B189</f>
        <v>43.920854271356788</v>
      </c>
      <c r="C162" s="133">
        <f>C174/C189</f>
        <v>46.514075887392899</v>
      </c>
      <c r="D162" s="133">
        <f t="shared" ref="D162:U162" si="11">D174/D189</f>
        <v>50.017156862745104</v>
      </c>
      <c r="E162" s="133">
        <f t="shared" si="11"/>
        <v>55.124842370744012</v>
      </c>
      <c r="F162" s="133">
        <f t="shared" si="11"/>
        <v>60.280856423173802</v>
      </c>
      <c r="G162" s="133">
        <f t="shared" si="11"/>
        <v>62.954022988505756</v>
      </c>
      <c r="H162" s="133">
        <f t="shared" si="11"/>
        <v>65.670370370370364</v>
      </c>
      <c r="I162" s="133">
        <f t="shared" si="11"/>
        <v>67.793020457280392</v>
      </c>
      <c r="J162" s="133">
        <f t="shared" si="11"/>
        <v>68.051435406698559</v>
      </c>
      <c r="K162" s="133">
        <f t="shared" si="11"/>
        <v>64.933972310969111</v>
      </c>
      <c r="L162" s="133">
        <f t="shared" si="11"/>
        <v>62.03966597077244</v>
      </c>
      <c r="M162" s="133">
        <f t="shared" si="11"/>
        <v>59.161290322580648</v>
      </c>
      <c r="N162" s="133">
        <f t="shared" si="11"/>
        <v>56.263901979264844</v>
      </c>
      <c r="O162" s="133">
        <f t="shared" si="11"/>
        <v>59.4681861348528</v>
      </c>
      <c r="P162" s="133">
        <f t="shared" si="11"/>
        <v>61.632173095014117</v>
      </c>
      <c r="Q162" s="133">
        <f t="shared" si="11"/>
        <v>65.322865554465153</v>
      </c>
      <c r="R162" s="133">
        <f t="shared" si="11"/>
        <v>71.507291666666674</v>
      </c>
      <c r="S162" s="133">
        <f t="shared" si="11"/>
        <v>77.992999999999995</v>
      </c>
      <c r="T162" s="133">
        <f t="shared" si="11"/>
        <v>77.331119544592028</v>
      </c>
      <c r="U162" s="133">
        <f t="shared" si="11"/>
        <v>80.389502762430951</v>
      </c>
    </row>
    <row r="163" spans="1:26" s="93" customFormat="1" x14ac:dyDescent="0.3">
      <c r="A163" s="37" t="s">
        <v>34</v>
      </c>
      <c r="B163" s="323">
        <f>B161-B162</f>
        <v>-2.1553556190656877</v>
      </c>
      <c r="C163" s="323">
        <f t="shared" ref="C163:T163" si="12">C161-C162</f>
        <v>-2.124602203182377</v>
      </c>
      <c r="D163" s="323">
        <f t="shared" si="12"/>
        <v>-1.4132352941176478</v>
      </c>
      <c r="E163" s="323">
        <f t="shared" si="12"/>
        <v>-4.2362482062877831</v>
      </c>
      <c r="F163" s="323">
        <f t="shared" si="12"/>
        <v>-3.8996553787873651</v>
      </c>
      <c r="G163" s="323">
        <f t="shared" si="12"/>
        <v>-1.2934966727162802</v>
      </c>
      <c r="H163" s="323">
        <f t="shared" si="12"/>
        <v>4.239298840825569</v>
      </c>
      <c r="I163" s="323">
        <f t="shared" si="12"/>
        <v>7.0921231132564344</v>
      </c>
      <c r="J163" s="323">
        <f t="shared" si="12"/>
        <v>15.627857522594368</v>
      </c>
      <c r="K163" s="323">
        <f t="shared" si="12"/>
        <v>15.563150819065399</v>
      </c>
      <c r="L163" s="323">
        <f t="shared" si="12"/>
        <v>16.119979262043522</v>
      </c>
      <c r="M163" s="323">
        <f t="shared" si="12"/>
        <v>18.78918386077023</v>
      </c>
      <c r="N163" s="323">
        <f t="shared" si="12"/>
        <v>24.413452730154006</v>
      </c>
      <c r="O163" s="323">
        <f t="shared" si="12"/>
        <v>24.032317389819909</v>
      </c>
      <c r="P163" s="323">
        <f t="shared" si="12"/>
        <v>18.119551042916918</v>
      </c>
      <c r="Q163" s="323">
        <f t="shared" si="12"/>
        <v>26.57672876602166</v>
      </c>
      <c r="R163" s="323">
        <f t="shared" si="12"/>
        <v>25.46831808943088</v>
      </c>
      <c r="S163" s="323">
        <f t="shared" si="12"/>
        <v>19.747</v>
      </c>
      <c r="T163" s="323">
        <f t="shared" si="12"/>
        <v>32.062213788741303</v>
      </c>
      <c r="U163" s="323">
        <f>U161-U162</f>
        <v>27.973542734319281</v>
      </c>
    </row>
    <row r="164" spans="1:26" x14ac:dyDescent="0.3">
      <c r="A164" s="4"/>
      <c r="B164" s="21"/>
      <c r="C164" s="21"/>
      <c r="D164" s="21"/>
      <c r="E164" s="21"/>
      <c r="F164" s="21"/>
      <c r="G164" s="21"/>
      <c r="H164" s="21"/>
      <c r="I164" s="21"/>
      <c r="J164" s="21"/>
      <c r="K164" s="21"/>
      <c r="L164" s="21"/>
      <c r="M164" s="21"/>
      <c r="N164" s="21"/>
      <c r="O164" s="21"/>
      <c r="P164" s="21"/>
      <c r="Q164" s="21"/>
      <c r="R164" s="21"/>
      <c r="S164" s="21"/>
      <c r="T164" s="21"/>
      <c r="U164" s="21"/>
    </row>
    <row r="165" spans="1:26" s="110" customFormat="1" x14ac:dyDescent="0.3">
      <c r="A165" s="182" t="s">
        <v>48</v>
      </c>
      <c r="B165" s="203">
        <v>1999</v>
      </c>
      <c r="C165" s="105">
        <v>2000</v>
      </c>
      <c r="D165" s="105">
        <v>2001</v>
      </c>
      <c r="E165" s="105">
        <v>2002</v>
      </c>
      <c r="F165" s="105">
        <v>2003</v>
      </c>
      <c r="G165" s="105">
        <v>2004</v>
      </c>
      <c r="H165" s="105">
        <v>2005</v>
      </c>
      <c r="I165" s="105">
        <v>2006</v>
      </c>
      <c r="J165" s="105">
        <v>2007</v>
      </c>
      <c r="K165" s="105">
        <v>2008</v>
      </c>
      <c r="L165" s="105">
        <v>2009</v>
      </c>
      <c r="M165" s="105">
        <v>2010</v>
      </c>
      <c r="N165" s="105">
        <v>2011</v>
      </c>
      <c r="O165" s="105">
        <v>2012</v>
      </c>
      <c r="P165" s="105">
        <v>2013</v>
      </c>
      <c r="Q165" s="105">
        <v>2014</v>
      </c>
      <c r="R165" s="105">
        <v>2015</v>
      </c>
      <c r="S165" s="105">
        <v>2016</v>
      </c>
      <c r="T165" s="105">
        <v>2017</v>
      </c>
      <c r="U165" s="105">
        <v>2018</v>
      </c>
      <c r="W165" s="105"/>
    </row>
    <row r="166" spans="1:26" s="48" customFormat="1" x14ac:dyDescent="0.3">
      <c r="A166" s="206" t="s">
        <v>316</v>
      </c>
      <c r="B166" s="328">
        <f>B178/B191</f>
        <v>61.314016172506733</v>
      </c>
      <c r="C166" s="328">
        <f>C178/C191</f>
        <v>64.046052631578945</v>
      </c>
      <c r="D166" s="328">
        <f>D178/D191</f>
        <v>67.760784313725495</v>
      </c>
      <c r="E166" s="328">
        <f t="shared" ref="E166:U166" si="13">E178/E191</f>
        <v>73.372679045092838</v>
      </c>
      <c r="F166" s="328">
        <f t="shared" si="13"/>
        <v>81.031331592689313</v>
      </c>
      <c r="G166" s="328">
        <f t="shared" si="13"/>
        <v>90.548684210526304</v>
      </c>
      <c r="H166" s="328">
        <f t="shared" si="13"/>
        <v>95.835877862595424</v>
      </c>
      <c r="I166" s="328">
        <f t="shared" si="13"/>
        <v>108.57677902621724</v>
      </c>
      <c r="J166" s="328">
        <f t="shared" si="13"/>
        <v>119.36489898989899</v>
      </c>
      <c r="K166" s="328">
        <f t="shared" si="13"/>
        <v>115.31185270425776</v>
      </c>
      <c r="L166" s="328">
        <f t="shared" si="13"/>
        <v>115.47117516629712</v>
      </c>
      <c r="M166" s="328">
        <f t="shared" si="13"/>
        <v>111.77555321390938</v>
      </c>
      <c r="N166" s="328">
        <f t="shared" si="13"/>
        <v>116.5691382765531</v>
      </c>
      <c r="O166" s="328">
        <f t="shared" si="13"/>
        <v>123.30110775427997</v>
      </c>
      <c r="P166" s="328">
        <f t="shared" si="13"/>
        <v>140.08669950738917</v>
      </c>
      <c r="Q166" s="328">
        <f t="shared" si="13"/>
        <v>138.50202839756591</v>
      </c>
      <c r="R166" s="328">
        <f t="shared" si="13"/>
        <v>149.95758218451749</v>
      </c>
      <c r="S166" s="328">
        <f t="shared" si="13"/>
        <v>160.148</v>
      </c>
      <c r="T166" s="328">
        <f t="shared" si="13"/>
        <v>156.1304761904762</v>
      </c>
      <c r="U166" s="328">
        <f t="shared" si="13"/>
        <v>154.78551532033427</v>
      </c>
      <c r="W166" s="184"/>
    </row>
    <row r="167" spans="1:26" x14ac:dyDescent="0.3">
      <c r="A167" s="4" t="s">
        <v>436</v>
      </c>
      <c r="B167" s="329">
        <f>B179/B189</f>
        <v>35.108040201005032</v>
      </c>
      <c r="C167" s="329">
        <f>C179/C189</f>
        <v>37.675642594859234</v>
      </c>
      <c r="D167" s="329">
        <f>D179/D189</f>
        <v>38.959558823529413</v>
      </c>
      <c r="E167" s="329">
        <f t="shared" ref="E167:U167" si="14">E179/E189</f>
        <v>42.47540983606558</v>
      </c>
      <c r="F167" s="329">
        <f t="shared" si="14"/>
        <v>45.876574307304786</v>
      </c>
      <c r="G167" s="329">
        <f t="shared" si="14"/>
        <v>49.775223499361431</v>
      </c>
      <c r="H167" s="329">
        <f t="shared" si="14"/>
        <v>52.571604938271598</v>
      </c>
      <c r="I167" s="329">
        <f t="shared" si="14"/>
        <v>56.653429602888089</v>
      </c>
      <c r="J167" s="329">
        <f t="shared" si="14"/>
        <v>60.234449760765557</v>
      </c>
      <c r="K167" s="329">
        <f t="shared" si="14"/>
        <v>60.193823216187425</v>
      </c>
      <c r="L167" s="329">
        <f t="shared" si="14"/>
        <v>60.794363256784969</v>
      </c>
      <c r="M167" s="329">
        <f t="shared" si="14"/>
        <v>61.342741935483865</v>
      </c>
      <c r="N167" s="329">
        <f t="shared" si="14"/>
        <v>57.743638077285581</v>
      </c>
      <c r="O167" s="329">
        <f t="shared" si="14"/>
        <v>58.509021842355182</v>
      </c>
      <c r="P167" s="329">
        <f t="shared" si="14"/>
        <v>63.656632173095019</v>
      </c>
      <c r="Q167" s="329">
        <f t="shared" si="14"/>
        <v>66.944062806673202</v>
      </c>
      <c r="R167" s="329">
        <f t="shared" si="14"/>
        <v>76.442708333333343</v>
      </c>
      <c r="S167" s="329">
        <f t="shared" si="14"/>
        <v>78.13</v>
      </c>
      <c r="T167" s="329">
        <f t="shared" si="14"/>
        <v>79.87760910815939</v>
      </c>
      <c r="U167" s="329">
        <f t="shared" si="14"/>
        <v>81.937384898710874</v>
      </c>
      <c r="W167" s="186"/>
    </row>
    <row r="168" spans="1:26" s="93" customFormat="1" x14ac:dyDescent="0.3">
      <c r="A168" s="37" t="s">
        <v>34</v>
      </c>
      <c r="B168" s="323">
        <f>B166-B167</f>
        <v>26.205975971501701</v>
      </c>
      <c r="C168" s="323">
        <f>C166-C167</f>
        <v>26.370410036719711</v>
      </c>
      <c r="D168" s="323">
        <f>D166-D167</f>
        <v>28.801225490196082</v>
      </c>
      <c r="E168" s="323">
        <f t="shared" ref="E168:U168" si="15">E166-E167</f>
        <v>30.897269209027257</v>
      </c>
      <c r="F168" s="323">
        <f t="shared" si="15"/>
        <v>35.154757285384527</v>
      </c>
      <c r="G168" s="323">
        <f t="shared" si="15"/>
        <v>40.773460711164873</v>
      </c>
      <c r="H168" s="323">
        <f t="shared" si="15"/>
        <v>43.264272924323826</v>
      </c>
      <c r="I168" s="323">
        <f t="shared" si="15"/>
        <v>51.923349423329149</v>
      </c>
      <c r="J168" s="323">
        <f t="shared" si="15"/>
        <v>59.130449229133433</v>
      </c>
      <c r="K168" s="323">
        <f t="shared" si="15"/>
        <v>55.118029488070334</v>
      </c>
      <c r="L168" s="323">
        <f t="shared" si="15"/>
        <v>54.676811909512146</v>
      </c>
      <c r="M168" s="323">
        <f t="shared" si="15"/>
        <v>50.432811278425511</v>
      </c>
      <c r="N168" s="323">
        <f t="shared" si="15"/>
        <v>58.825500199267523</v>
      </c>
      <c r="O168" s="323">
        <f t="shared" si="15"/>
        <v>64.792085911924787</v>
      </c>
      <c r="P168" s="323">
        <f t="shared" si="15"/>
        <v>76.430067334294151</v>
      </c>
      <c r="Q168" s="323">
        <f t="shared" si="15"/>
        <v>71.557965590892707</v>
      </c>
      <c r="R168" s="323">
        <f t="shared" si="15"/>
        <v>73.514873851184149</v>
      </c>
      <c r="S168" s="323">
        <f t="shared" si="15"/>
        <v>82.018000000000001</v>
      </c>
      <c r="T168" s="323">
        <f t="shared" si="15"/>
        <v>76.252867082316811</v>
      </c>
      <c r="U168" s="323">
        <f t="shared" si="15"/>
        <v>72.848130421623395</v>
      </c>
      <c r="W168" s="55"/>
    </row>
    <row r="169" spans="1:26" s="44" customFormat="1" x14ac:dyDescent="0.3">
      <c r="A169" s="4"/>
      <c r="B169" s="100"/>
      <c r="C169" s="100"/>
      <c r="D169" s="100"/>
      <c r="E169" s="100"/>
      <c r="F169" s="100"/>
      <c r="G169" s="100"/>
      <c r="H169" s="100"/>
      <c r="I169" s="100"/>
      <c r="J169" s="100"/>
      <c r="K169" s="100"/>
      <c r="L169" s="100"/>
      <c r="M169" s="100"/>
      <c r="N169" s="100"/>
      <c r="O169" s="100"/>
      <c r="P169" s="100"/>
      <c r="Q169" s="100"/>
      <c r="R169" s="100"/>
      <c r="S169" s="100"/>
      <c r="T169" s="100"/>
    </row>
    <row r="170" spans="1:26" s="44" customFormat="1" x14ac:dyDescent="0.3">
      <c r="A170" s="4"/>
      <c r="B170" s="100"/>
      <c r="C170" s="100"/>
      <c r="D170" s="100"/>
      <c r="E170" s="100"/>
      <c r="F170" s="100"/>
      <c r="G170" s="100"/>
      <c r="H170" s="100"/>
      <c r="I170" s="100"/>
      <c r="J170" s="100"/>
      <c r="K170" s="100"/>
      <c r="L170" s="100"/>
      <c r="M170" s="100"/>
      <c r="N170" s="100"/>
      <c r="O170" s="100"/>
      <c r="P170" s="100"/>
      <c r="Q170" s="100"/>
      <c r="R170" s="100"/>
      <c r="S170" s="100"/>
      <c r="T170" s="100"/>
    </row>
    <row r="171" spans="1:26" s="44" customFormat="1" x14ac:dyDescent="0.3">
      <c r="A171" s="601" t="s">
        <v>679</v>
      </c>
      <c r="B171" s="100"/>
      <c r="C171" s="100"/>
      <c r="D171" s="100"/>
      <c r="E171" s="100"/>
      <c r="F171" s="100"/>
      <c r="G171" s="100"/>
      <c r="H171" s="100"/>
      <c r="I171" s="100"/>
      <c r="J171" s="100"/>
      <c r="K171" s="100"/>
      <c r="L171" s="100"/>
      <c r="M171" s="100"/>
      <c r="N171" s="100"/>
      <c r="O171" s="100"/>
      <c r="P171" s="100"/>
      <c r="Q171" s="100"/>
      <c r="R171" s="100"/>
      <c r="S171" s="100"/>
      <c r="T171" s="100"/>
    </row>
    <row r="172" spans="1:26" s="110" customFormat="1" x14ac:dyDescent="0.3">
      <c r="A172" s="182" t="s">
        <v>48</v>
      </c>
      <c r="B172" s="203">
        <v>1999</v>
      </c>
      <c r="C172" s="105">
        <v>2000</v>
      </c>
      <c r="D172" s="105">
        <v>2001</v>
      </c>
      <c r="E172" s="105">
        <v>2002</v>
      </c>
      <c r="F172" s="105">
        <v>2003</v>
      </c>
      <c r="G172" s="105">
        <v>2004</v>
      </c>
      <c r="H172" s="105">
        <v>2005</v>
      </c>
      <c r="I172" s="105">
        <v>2006</v>
      </c>
      <c r="J172" s="105">
        <v>2007</v>
      </c>
      <c r="K172" s="105">
        <v>2008</v>
      </c>
      <c r="L172" s="105">
        <v>2009</v>
      </c>
      <c r="M172" s="105">
        <v>2010</v>
      </c>
      <c r="N172" s="105">
        <v>2011</v>
      </c>
      <c r="O172" s="105">
        <v>2012</v>
      </c>
      <c r="P172" s="105">
        <v>2013</v>
      </c>
      <c r="Q172" s="105">
        <v>2014</v>
      </c>
      <c r="R172" s="105">
        <v>2015</v>
      </c>
      <c r="S172" s="105">
        <v>2016</v>
      </c>
      <c r="T172" s="105">
        <v>2017</v>
      </c>
      <c r="U172" s="105">
        <v>2018</v>
      </c>
    </row>
    <row r="173" spans="1:26" s="48" customFormat="1" x14ac:dyDescent="0.3">
      <c r="A173" s="205" t="s">
        <v>315</v>
      </c>
      <c r="B173" s="195">
        <f>'ONS Services Trade Data 2018'!B28</f>
        <v>30.99</v>
      </c>
      <c r="C173" s="60">
        <f>'ONS Services Trade Data 2018'!C28</f>
        <v>33.735999999999997</v>
      </c>
      <c r="D173" s="195">
        <f>'ONS Services Trade Data 2018'!D28</f>
        <v>37.182000000000002</v>
      </c>
      <c r="E173" s="60">
        <f>'ONS Services Trade Data 2018'!E28</f>
        <v>38.369999999999997</v>
      </c>
      <c r="F173" s="195">
        <f>'ONS Services Trade Data 2018'!F28</f>
        <v>43.188000000000002</v>
      </c>
      <c r="G173" s="60">
        <f>'ONS Services Trade Data 2018'!G28</f>
        <v>46.862000000000002</v>
      </c>
      <c r="H173" s="195">
        <f>'ONS Services Trade Data 2018'!H28</f>
        <v>54.948999999999998</v>
      </c>
      <c r="I173" s="60">
        <f>'ONS Services Trade Data 2018'!I28</f>
        <v>59.982999999999997</v>
      </c>
      <c r="J173" s="195">
        <f>'ONS Services Trade Data 2018'!J28</f>
        <v>66.274000000000001</v>
      </c>
      <c r="K173" s="60">
        <f>'ONS Services Trade Data 2018'!K28</f>
        <v>69.951999999999998</v>
      </c>
      <c r="L173" s="195">
        <f>'ONS Services Trade Data 2018'!L28</f>
        <v>70.5</v>
      </c>
      <c r="M173" s="60">
        <f>'ONS Services Trade Data 2018'!M28</f>
        <v>73.974999999999994</v>
      </c>
      <c r="N173" s="195">
        <f>'ONS Services Trade Data 2018'!N28</f>
        <v>80.516000000000005</v>
      </c>
      <c r="O173" s="60">
        <f>'ONS Services Trade Data 2018'!O28</f>
        <v>82.915999999999997</v>
      </c>
      <c r="P173" s="195">
        <f>'ONS Services Trade Data 2018'!P28</f>
        <v>80.947999999999993</v>
      </c>
      <c r="Q173" s="60">
        <f>'ONS Services Trade Data 2018'!Q28</f>
        <v>90.613</v>
      </c>
      <c r="R173" s="195">
        <f>'ONS Services Trade Data 2018'!R28</f>
        <v>91.447999999999993</v>
      </c>
      <c r="S173" s="60">
        <f>'ONS Services Trade Data 2018'!S28</f>
        <v>97.74</v>
      </c>
      <c r="T173" s="195">
        <v>114.863</v>
      </c>
      <c r="U173" s="60">
        <v>116.70699999999999</v>
      </c>
      <c r="V173" s="372" t="s">
        <v>265</v>
      </c>
      <c r="W173" s="48" t="s">
        <v>666</v>
      </c>
      <c r="Z173" s="48" t="s">
        <v>672</v>
      </c>
    </row>
    <row r="174" spans="1:26" x14ac:dyDescent="0.3">
      <c r="A174" s="51" t="s">
        <v>435</v>
      </c>
      <c r="B174" s="29">
        <f>'ONS Services Trade Data 2018'!B29</f>
        <v>34.960999999999999</v>
      </c>
      <c r="C174" s="29">
        <f>'ONS Services Trade Data 2018'!C29</f>
        <v>38.002000000000002</v>
      </c>
      <c r="D174" s="29">
        <f>'ONS Services Trade Data 2018'!D29</f>
        <v>40.814</v>
      </c>
      <c r="E174" s="29">
        <f>'ONS Services Trade Data 2018'!E29</f>
        <v>43.713999999999999</v>
      </c>
      <c r="F174" s="29">
        <f>'ONS Services Trade Data 2018'!F29</f>
        <v>47.863</v>
      </c>
      <c r="G174" s="29">
        <f>'ONS Services Trade Data 2018'!G29</f>
        <v>49.292999999999999</v>
      </c>
      <c r="H174" s="29">
        <f>'ONS Services Trade Data 2018'!H29</f>
        <v>53.192999999999998</v>
      </c>
      <c r="I174" s="29">
        <f>'ONS Services Trade Data 2018'!I29</f>
        <v>56.335999999999999</v>
      </c>
      <c r="J174" s="29">
        <f>'ONS Services Trade Data 2018'!J29</f>
        <v>56.890999999999998</v>
      </c>
      <c r="K174" s="29">
        <f>'ONS Services Trade Data 2018'!K29</f>
        <v>60.972999999999999</v>
      </c>
      <c r="L174" s="29">
        <f>'ONS Services Trade Data 2018'!L29</f>
        <v>59.433999999999997</v>
      </c>
      <c r="M174" s="29">
        <f>'ONS Services Trade Data 2018'!M29</f>
        <v>58.688000000000002</v>
      </c>
      <c r="N174" s="29">
        <f>'ONS Services Trade Data 2018'!N29</f>
        <v>59.695999999999998</v>
      </c>
      <c r="O174" s="29">
        <f>'ONS Services Trade Data 2018'!O29</f>
        <v>62.62</v>
      </c>
      <c r="P174" s="29">
        <f>'ONS Services Trade Data 2018'!P29</f>
        <v>65.515000000000001</v>
      </c>
      <c r="Q174" s="29">
        <f>'ONS Services Trade Data 2018'!Q29</f>
        <v>66.563999999999993</v>
      </c>
      <c r="R174" s="29">
        <f>'ONS Services Trade Data 2018'!R29</f>
        <v>68.647000000000006</v>
      </c>
      <c r="S174" s="29">
        <f>'ONS Services Trade Data 2018'!S29</f>
        <v>77.992999999999995</v>
      </c>
      <c r="T174" s="29">
        <v>81.507000000000005</v>
      </c>
      <c r="U174" s="29">
        <v>87.302999999999997</v>
      </c>
      <c r="V174" s="92" t="s">
        <v>265</v>
      </c>
      <c r="W174" s="91" t="s">
        <v>667</v>
      </c>
    </row>
    <row r="175" spans="1:26" s="93" customFormat="1" x14ac:dyDescent="0.3">
      <c r="A175" s="37" t="s">
        <v>34</v>
      </c>
      <c r="B175" s="98">
        <f>B173-B174</f>
        <v>-3.9710000000000001</v>
      </c>
      <c r="C175" s="98">
        <f t="shared" ref="C175:U175" si="16">C173-C174</f>
        <v>-4.2660000000000053</v>
      </c>
      <c r="D175" s="98">
        <f t="shared" si="16"/>
        <v>-3.6319999999999979</v>
      </c>
      <c r="E175" s="98">
        <f t="shared" si="16"/>
        <v>-5.3440000000000012</v>
      </c>
      <c r="F175" s="98">
        <f t="shared" si="16"/>
        <v>-4.6749999999999972</v>
      </c>
      <c r="G175" s="98">
        <f t="shared" si="16"/>
        <v>-2.4309999999999974</v>
      </c>
      <c r="H175" s="98">
        <f t="shared" si="16"/>
        <v>1.7560000000000002</v>
      </c>
      <c r="I175" s="98">
        <f t="shared" si="16"/>
        <v>3.6469999999999985</v>
      </c>
      <c r="J175" s="98">
        <f t="shared" si="16"/>
        <v>9.3830000000000027</v>
      </c>
      <c r="K175" s="98">
        <f t="shared" si="16"/>
        <v>8.9789999999999992</v>
      </c>
      <c r="L175" s="98">
        <f t="shared" si="16"/>
        <v>11.066000000000003</v>
      </c>
      <c r="M175" s="98">
        <f t="shared" si="16"/>
        <v>15.286999999999992</v>
      </c>
      <c r="N175" s="98">
        <f t="shared" si="16"/>
        <v>20.820000000000007</v>
      </c>
      <c r="O175" s="98">
        <f t="shared" si="16"/>
        <v>20.295999999999999</v>
      </c>
      <c r="P175" s="98">
        <f t="shared" si="16"/>
        <v>15.432999999999993</v>
      </c>
      <c r="Q175" s="98">
        <f t="shared" si="16"/>
        <v>24.049000000000007</v>
      </c>
      <c r="R175" s="98">
        <f t="shared" si="16"/>
        <v>22.800999999999988</v>
      </c>
      <c r="S175" s="98">
        <f t="shared" si="16"/>
        <v>19.747</v>
      </c>
      <c r="T175" s="98">
        <f>T173-T174</f>
        <v>33.355999999999995</v>
      </c>
      <c r="U175" s="98">
        <f t="shared" si="16"/>
        <v>29.403999999999996</v>
      </c>
    </row>
    <row r="176" spans="1:26" x14ac:dyDescent="0.3">
      <c r="A176" s="4"/>
      <c r="B176" s="21"/>
      <c r="C176" s="21"/>
      <c r="D176" s="21"/>
      <c r="E176" s="21"/>
      <c r="F176" s="21"/>
      <c r="G176" s="21"/>
      <c r="H176" s="21"/>
      <c r="I176" s="21"/>
      <c r="J176" s="21"/>
      <c r="K176" s="21"/>
      <c r="L176" s="21"/>
      <c r="M176" s="21"/>
      <c r="N176" s="21"/>
      <c r="O176" s="21"/>
      <c r="P176" s="21"/>
      <c r="Q176" s="21"/>
      <c r="R176" s="21"/>
      <c r="S176" s="21"/>
      <c r="T176" s="21"/>
      <c r="U176" s="21"/>
    </row>
    <row r="177" spans="1:26" s="110" customFormat="1" x14ac:dyDescent="0.3">
      <c r="A177" s="182" t="s">
        <v>48</v>
      </c>
      <c r="B177" s="203">
        <v>1999</v>
      </c>
      <c r="C177" s="105">
        <v>2000</v>
      </c>
      <c r="D177" s="105">
        <v>2001</v>
      </c>
      <c r="E177" s="105">
        <v>2002</v>
      </c>
      <c r="F177" s="105">
        <v>2003</v>
      </c>
      <c r="G177" s="105">
        <v>2004</v>
      </c>
      <c r="H177" s="105">
        <v>2005</v>
      </c>
      <c r="I177" s="105">
        <v>2006</v>
      </c>
      <c r="J177" s="105">
        <v>2007</v>
      </c>
      <c r="K177" s="105">
        <v>2008</v>
      </c>
      <c r="L177" s="105">
        <v>2009</v>
      </c>
      <c r="M177" s="105">
        <v>2010</v>
      </c>
      <c r="N177" s="105">
        <v>2011</v>
      </c>
      <c r="O177" s="105">
        <v>2012</v>
      </c>
      <c r="P177" s="105">
        <v>2013</v>
      </c>
      <c r="Q177" s="105">
        <v>2014</v>
      </c>
      <c r="R177" s="105">
        <v>2015</v>
      </c>
      <c r="S177" s="105">
        <v>2016</v>
      </c>
      <c r="T177" s="105">
        <v>2017</v>
      </c>
      <c r="U177" s="105">
        <v>2018</v>
      </c>
    </row>
    <row r="178" spans="1:26" s="48" customFormat="1" x14ac:dyDescent="0.3">
      <c r="A178" s="206" t="s">
        <v>316</v>
      </c>
      <c r="B178" s="204">
        <f>'ONS Services Trade Data 2018'!B30</f>
        <v>45.494999999999997</v>
      </c>
      <c r="C178" s="185">
        <f>'ONS Services Trade Data 2018'!C30</f>
        <v>48.674999999999997</v>
      </c>
      <c r="D178" s="204">
        <f>'ONS Services Trade Data 2018'!D30</f>
        <v>51.837000000000003</v>
      </c>
      <c r="E178" s="185">
        <f>'ONS Services Trade Data 2018'!E30</f>
        <v>55.323</v>
      </c>
      <c r="F178" s="204">
        <f>'ONS Services Trade Data 2018'!F30</f>
        <v>62.07</v>
      </c>
      <c r="G178" s="185">
        <f>'ONS Services Trade Data 2018'!G30</f>
        <v>68.816999999999993</v>
      </c>
      <c r="H178" s="204">
        <f>'ONS Services Trade Data 2018'!H30</f>
        <v>75.326999999999998</v>
      </c>
      <c r="I178" s="185">
        <f>'ONS Services Trade Data 2018'!I30</f>
        <v>86.97</v>
      </c>
      <c r="J178" s="204">
        <f>'ONS Services Trade Data 2018'!J30</f>
        <v>94.537000000000006</v>
      </c>
      <c r="K178" s="185">
        <f>'ONS Services Trade Data 2018'!K30</f>
        <v>100.206</v>
      </c>
      <c r="L178" s="204">
        <f>'ONS Services Trade Data 2018'!L30</f>
        <v>104.155</v>
      </c>
      <c r="M178" s="185">
        <f>'ONS Services Trade Data 2018'!M30</f>
        <v>106.075</v>
      </c>
      <c r="N178" s="204">
        <f>'ONS Services Trade Data 2018'!N30</f>
        <v>116.336</v>
      </c>
      <c r="O178" s="185">
        <f>'ONS Services Trade Data 2018'!O30</f>
        <v>122.438</v>
      </c>
      <c r="P178" s="204">
        <f>'ONS Services Trade Data 2018'!P30</f>
        <v>142.18799999999999</v>
      </c>
      <c r="Q178" s="185">
        <f>'ONS Services Trade Data 2018'!Q30</f>
        <v>136.56299999999999</v>
      </c>
      <c r="R178" s="204">
        <f>'ONS Services Trade Data 2018'!R30</f>
        <v>141.41</v>
      </c>
      <c r="S178" s="185">
        <f>'ONS Services Trade Data 2018'!S30</f>
        <v>160.148</v>
      </c>
      <c r="T178" s="204">
        <v>163.93700000000001</v>
      </c>
      <c r="U178" s="60">
        <v>166.70400000000001</v>
      </c>
      <c r="V178" s="372" t="s">
        <v>265</v>
      </c>
      <c r="W178" s="48" t="s">
        <v>667</v>
      </c>
      <c r="Z178" s="48" t="s">
        <v>673</v>
      </c>
    </row>
    <row r="179" spans="1:26" x14ac:dyDescent="0.3">
      <c r="A179" s="4" t="s">
        <v>436</v>
      </c>
      <c r="B179" s="99">
        <f>'ONS Services Trade Data 2018'!B31</f>
        <v>27.946000000000002</v>
      </c>
      <c r="C179" s="99">
        <f>'ONS Services Trade Data 2018'!C31</f>
        <v>30.780999999999999</v>
      </c>
      <c r="D179" s="99">
        <f>'ONS Services Trade Data 2018'!D31</f>
        <v>31.791</v>
      </c>
      <c r="E179" s="99">
        <f>'ONS Services Trade Data 2018'!E31</f>
        <v>33.683</v>
      </c>
      <c r="F179" s="99">
        <f>'ONS Services Trade Data 2018'!F31</f>
        <v>36.426000000000002</v>
      </c>
      <c r="G179" s="99">
        <f>'ONS Services Trade Data 2018'!G31</f>
        <v>38.973999999999997</v>
      </c>
      <c r="H179" s="99">
        <f>'ONS Services Trade Data 2018'!H31</f>
        <v>42.582999999999998</v>
      </c>
      <c r="I179" s="99">
        <f>'ONS Services Trade Data 2018'!I31</f>
        <v>47.079000000000001</v>
      </c>
      <c r="J179" s="99">
        <f>'ONS Services Trade Data 2018'!J31</f>
        <v>50.356000000000002</v>
      </c>
      <c r="K179" s="99">
        <f>'ONS Services Trade Data 2018'!K31</f>
        <v>56.521999999999998</v>
      </c>
      <c r="L179" s="99">
        <f>'ONS Services Trade Data 2018'!L31</f>
        <v>58.241</v>
      </c>
      <c r="M179" s="99">
        <f>'ONS Services Trade Data 2018'!M31</f>
        <v>60.851999999999997</v>
      </c>
      <c r="N179" s="99">
        <f>'ONS Services Trade Data 2018'!N31</f>
        <v>61.265999999999998</v>
      </c>
      <c r="O179" s="99">
        <f>'ONS Services Trade Data 2018'!O31</f>
        <v>61.61</v>
      </c>
      <c r="P179" s="99">
        <f>'ONS Services Trade Data 2018'!P31</f>
        <v>67.667000000000002</v>
      </c>
      <c r="Q179" s="99">
        <f>'ONS Services Trade Data 2018'!Q31</f>
        <v>68.215999999999994</v>
      </c>
      <c r="R179" s="99">
        <f>'ONS Services Trade Data 2018'!R31</f>
        <v>73.385000000000005</v>
      </c>
      <c r="S179" s="99">
        <f>'ONS Services Trade Data 2018'!S31</f>
        <v>78.13</v>
      </c>
      <c r="T179" s="99">
        <v>84.191000000000003</v>
      </c>
      <c r="U179" s="99">
        <v>88.983999999999995</v>
      </c>
      <c r="V179" s="92" t="s">
        <v>265</v>
      </c>
      <c r="W179" s="91" t="s">
        <v>667</v>
      </c>
    </row>
    <row r="180" spans="1:26" s="93" customFormat="1" x14ac:dyDescent="0.3">
      <c r="A180" s="37" t="s">
        <v>34</v>
      </c>
      <c r="B180" s="98">
        <f>B178-B179</f>
        <v>17.548999999999996</v>
      </c>
      <c r="C180" s="98">
        <f t="shared" ref="C180:U180" si="17">C178-C179</f>
        <v>17.893999999999998</v>
      </c>
      <c r="D180" s="98">
        <f t="shared" si="17"/>
        <v>20.046000000000003</v>
      </c>
      <c r="E180" s="98">
        <f t="shared" si="17"/>
        <v>21.64</v>
      </c>
      <c r="F180" s="98">
        <f t="shared" si="17"/>
        <v>25.643999999999998</v>
      </c>
      <c r="G180" s="98">
        <f t="shared" si="17"/>
        <v>29.842999999999996</v>
      </c>
      <c r="H180" s="98">
        <f t="shared" si="17"/>
        <v>32.744</v>
      </c>
      <c r="I180" s="98">
        <f t="shared" si="17"/>
        <v>39.890999999999998</v>
      </c>
      <c r="J180" s="98">
        <f t="shared" si="17"/>
        <v>44.181000000000004</v>
      </c>
      <c r="K180" s="98">
        <f t="shared" si="17"/>
        <v>43.684000000000005</v>
      </c>
      <c r="L180" s="98">
        <f t="shared" si="17"/>
        <v>45.914000000000001</v>
      </c>
      <c r="M180" s="98">
        <f t="shared" si="17"/>
        <v>45.223000000000006</v>
      </c>
      <c r="N180" s="98">
        <f t="shared" si="17"/>
        <v>55.07</v>
      </c>
      <c r="O180" s="98">
        <f t="shared" si="17"/>
        <v>60.828000000000003</v>
      </c>
      <c r="P180" s="98">
        <f t="shared" si="17"/>
        <v>74.520999999999987</v>
      </c>
      <c r="Q180" s="98">
        <f t="shared" si="17"/>
        <v>68.346999999999994</v>
      </c>
      <c r="R180" s="98">
        <f t="shared" si="17"/>
        <v>68.024999999999991</v>
      </c>
      <c r="S180" s="98">
        <f t="shared" si="17"/>
        <v>82.018000000000001</v>
      </c>
      <c r="T180" s="98">
        <f>T178-T179</f>
        <v>79.746000000000009</v>
      </c>
      <c r="U180" s="98">
        <f t="shared" si="17"/>
        <v>77.720000000000013</v>
      </c>
    </row>
    <row r="181" spans="1:26" s="44" customFormat="1" x14ac:dyDescent="0.3">
      <c r="A181" s="4"/>
      <c r="B181" s="100"/>
      <c r="C181" s="100"/>
      <c r="D181" s="100"/>
      <c r="E181" s="100"/>
      <c r="F181" s="100"/>
      <c r="G181" s="100"/>
      <c r="H181" s="100"/>
      <c r="I181" s="100"/>
      <c r="J181" s="100"/>
      <c r="K181" s="100"/>
      <c r="L181" s="100"/>
      <c r="M181" s="100"/>
      <c r="N181" s="100"/>
      <c r="O181" s="100"/>
      <c r="P181" s="100"/>
      <c r="Q181" s="100"/>
      <c r="R181" s="100"/>
      <c r="S181" s="100"/>
      <c r="T181" s="100" t="s">
        <v>538</v>
      </c>
      <c r="U181" s="100"/>
      <c r="V181" s="44">
        <f>T173+T178</f>
        <v>278.8</v>
      </c>
    </row>
    <row r="182" spans="1:26" x14ac:dyDescent="0.3">
      <c r="B182" s="62"/>
      <c r="C182" s="62"/>
      <c r="D182" s="62"/>
      <c r="E182" s="62"/>
      <c r="F182" s="62"/>
      <c r="G182" s="62"/>
      <c r="H182" s="62"/>
      <c r="I182" s="62"/>
      <c r="J182" s="62"/>
      <c r="K182" s="62"/>
      <c r="L182" s="62"/>
      <c r="M182" s="62"/>
      <c r="N182" s="62"/>
      <c r="O182" s="62"/>
      <c r="P182" s="62"/>
      <c r="Q182" s="62"/>
      <c r="R182" s="62"/>
      <c r="S182" s="62"/>
      <c r="U182" s="92"/>
    </row>
    <row r="183" spans="1:26" s="465" customFormat="1" x14ac:dyDescent="0.3">
      <c r="B183" s="62"/>
      <c r="C183" s="62"/>
      <c r="D183" s="62"/>
      <c r="E183" s="62"/>
      <c r="F183" s="62"/>
      <c r="G183" s="62"/>
      <c r="H183" s="62"/>
      <c r="I183" s="62"/>
      <c r="J183" s="62"/>
      <c r="K183" s="62"/>
      <c r="L183" s="62"/>
      <c r="M183" s="62"/>
      <c r="N183" s="62"/>
      <c r="O183" s="62"/>
      <c r="P183" s="62"/>
      <c r="Q183" s="6" t="s">
        <v>650</v>
      </c>
      <c r="R183" s="6"/>
      <c r="S183" s="6"/>
      <c r="T183" s="6"/>
      <c r="U183" s="6"/>
      <c r="V183" s="6" t="s">
        <v>646</v>
      </c>
      <c r="W183" s="6"/>
    </row>
    <row r="184" spans="1:26" s="465" customFormat="1" x14ac:dyDescent="0.3">
      <c r="B184" s="62"/>
      <c r="C184" s="62"/>
      <c r="D184" s="62"/>
      <c r="E184" s="62"/>
      <c r="F184" s="62"/>
      <c r="G184" s="62"/>
      <c r="H184" s="62"/>
      <c r="I184" s="62"/>
      <c r="J184" s="62"/>
      <c r="K184" s="62"/>
      <c r="L184" s="62"/>
      <c r="M184" s="62"/>
      <c r="N184" s="62"/>
      <c r="O184" s="62"/>
      <c r="P184" s="62"/>
      <c r="Q184" s="572" t="s">
        <v>644</v>
      </c>
      <c r="R184" s="570">
        <f>R173/(R178+R173)</f>
        <v>0.39272002679744733</v>
      </c>
      <c r="S184" s="570">
        <f>S173/(S178+S173)</f>
        <v>0.37900173718823676</v>
      </c>
      <c r="T184" s="570">
        <f>T173/(T178+T173)</f>
        <v>0.41199067431850789</v>
      </c>
      <c r="V184" s="573">
        <f>(R184+S184+T184)/3</f>
        <v>0.39457081276806399</v>
      </c>
    </row>
    <row r="185" spans="1:26" s="465" customFormat="1" ht="18" x14ac:dyDescent="0.35">
      <c r="A185" s="201" t="s">
        <v>686</v>
      </c>
      <c r="R185" s="465">
        <f>R173+R178</f>
        <v>232.858</v>
      </c>
    </row>
    <row r="186" spans="1:26" s="465" customFormat="1" ht="28.95" customHeight="1" thickBot="1" x14ac:dyDescent="0.35">
      <c r="A186" s="976" t="s">
        <v>687</v>
      </c>
      <c r="B186" s="976"/>
      <c r="C186" s="976"/>
      <c r="D186" s="976"/>
      <c r="E186" s="976"/>
      <c r="F186" s="976"/>
      <c r="G186" s="976"/>
      <c r="H186" s="618"/>
      <c r="I186" s="618"/>
      <c r="J186" s="618"/>
    </row>
    <row r="187" spans="1:26" s="106" customFormat="1" x14ac:dyDescent="0.3">
      <c r="A187" s="378" t="s">
        <v>48</v>
      </c>
      <c r="B187" s="379" t="s">
        <v>1</v>
      </c>
      <c r="C187" s="379" t="s">
        <v>2</v>
      </c>
      <c r="D187" s="379">
        <v>2001</v>
      </c>
      <c r="E187" s="379" t="s">
        <v>4</v>
      </c>
      <c r="F187" s="379" t="s">
        <v>5</v>
      </c>
      <c r="G187" s="379" t="s">
        <v>6</v>
      </c>
      <c r="H187" s="379" t="s">
        <v>7</v>
      </c>
      <c r="I187" s="379" t="s">
        <v>8</v>
      </c>
      <c r="J187" s="379" t="s">
        <v>9</v>
      </c>
      <c r="K187" s="379" t="s">
        <v>10</v>
      </c>
      <c r="L187" s="379" t="s">
        <v>11</v>
      </c>
      <c r="M187" s="379" t="s">
        <v>12</v>
      </c>
      <c r="N187" s="379" t="s">
        <v>13</v>
      </c>
      <c r="O187" s="379" t="s">
        <v>14</v>
      </c>
      <c r="P187" s="379" t="s">
        <v>15</v>
      </c>
      <c r="Q187" s="379" t="s">
        <v>16</v>
      </c>
      <c r="R187" s="379" t="s">
        <v>17</v>
      </c>
      <c r="S187" s="379" t="s">
        <v>18</v>
      </c>
      <c r="T187" s="379">
        <v>2017</v>
      </c>
      <c r="U187" s="382">
        <v>2018</v>
      </c>
    </row>
    <row r="188" spans="1:26" s="465" customFormat="1" x14ac:dyDescent="0.3">
      <c r="A188" s="380" t="s">
        <v>481</v>
      </c>
      <c r="B188" s="623">
        <v>79.599999999999994</v>
      </c>
      <c r="C188" s="623">
        <v>81.7</v>
      </c>
      <c r="D188" s="623">
        <v>81.599999999999994</v>
      </c>
      <c r="E188" s="623">
        <v>79.3</v>
      </c>
      <c r="F188" s="623">
        <v>79.400000000000006</v>
      </c>
      <c r="G188" s="623">
        <v>78.3</v>
      </c>
      <c r="H188" s="623">
        <v>81</v>
      </c>
      <c r="I188" s="623">
        <v>83.1</v>
      </c>
      <c r="J188" s="623">
        <v>83.6</v>
      </c>
      <c r="K188" s="623">
        <v>93.9</v>
      </c>
      <c r="L188" s="623">
        <v>95.8</v>
      </c>
      <c r="M188" s="623">
        <v>99.2</v>
      </c>
      <c r="N188" s="623">
        <v>106.1</v>
      </c>
      <c r="O188" s="623">
        <v>105.3</v>
      </c>
      <c r="P188" s="623">
        <v>106.3</v>
      </c>
      <c r="Q188" s="623">
        <v>101.9</v>
      </c>
      <c r="R188" s="623">
        <v>96</v>
      </c>
      <c r="S188" s="623">
        <v>100</v>
      </c>
      <c r="T188" s="119">
        <v>105.4</v>
      </c>
      <c r="U188" s="142">
        <v>108.6</v>
      </c>
    </row>
    <row r="189" spans="1:26" s="465" customFormat="1" x14ac:dyDescent="0.3">
      <c r="A189" s="624" t="s">
        <v>483</v>
      </c>
      <c r="B189" s="190">
        <f>B188/100</f>
        <v>0.79599999999999993</v>
      </c>
      <c r="C189" s="190">
        <f>C188/100</f>
        <v>0.81700000000000006</v>
      </c>
      <c r="D189" s="190">
        <f>D188/100</f>
        <v>0.81599999999999995</v>
      </c>
      <c r="E189" s="190">
        <f t="shared" ref="E189:U189" si="18">E188/100</f>
        <v>0.79299999999999993</v>
      </c>
      <c r="F189" s="190">
        <f t="shared" si="18"/>
        <v>0.79400000000000004</v>
      </c>
      <c r="G189" s="190">
        <f t="shared" si="18"/>
        <v>0.78299999999999992</v>
      </c>
      <c r="H189" s="190">
        <f t="shared" si="18"/>
        <v>0.81</v>
      </c>
      <c r="I189" s="190">
        <f t="shared" si="18"/>
        <v>0.83099999999999996</v>
      </c>
      <c r="J189" s="190">
        <f t="shared" si="18"/>
        <v>0.83599999999999997</v>
      </c>
      <c r="K189" s="190">
        <f t="shared" si="18"/>
        <v>0.93900000000000006</v>
      </c>
      <c r="L189" s="190">
        <f t="shared" si="18"/>
        <v>0.95799999999999996</v>
      </c>
      <c r="M189" s="190">
        <f t="shared" si="18"/>
        <v>0.99199999999999999</v>
      </c>
      <c r="N189" s="190">
        <f t="shared" si="18"/>
        <v>1.0609999999999999</v>
      </c>
      <c r="O189" s="190">
        <f t="shared" si="18"/>
        <v>1.0529999999999999</v>
      </c>
      <c r="P189" s="190">
        <f t="shared" si="18"/>
        <v>1.0629999999999999</v>
      </c>
      <c r="Q189" s="190">
        <f t="shared" si="18"/>
        <v>1.0190000000000001</v>
      </c>
      <c r="R189" s="190">
        <f t="shared" si="18"/>
        <v>0.96</v>
      </c>
      <c r="S189" s="190">
        <f t="shared" si="18"/>
        <v>1</v>
      </c>
      <c r="T189" s="190">
        <f>T188/100</f>
        <v>1.054</v>
      </c>
      <c r="U189" s="191">
        <f t="shared" si="18"/>
        <v>1.0859999999999999</v>
      </c>
    </row>
    <row r="190" spans="1:26" s="465" customFormat="1" x14ac:dyDescent="0.3">
      <c r="A190" s="454" t="s">
        <v>482</v>
      </c>
      <c r="B190" s="623">
        <v>74.2</v>
      </c>
      <c r="C190" s="623">
        <v>76</v>
      </c>
      <c r="D190" s="623">
        <v>76.5</v>
      </c>
      <c r="E190" s="623">
        <v>75.400000000000006</v>
      </c>
      <c r="F190" s="623">
        <v>76.599999999999994</v>
      </c>
      <c r="G190" s="623">
        <v>76</v>
      </c>
      <c r="H190" s="623">
        <v>78.599999999999994</v>
      </c>
      <c r="I190" s="623">
        <v>80.099999999999994</v>
      </c>
      <c r="J190" s="623">
        <v>79.2</v>
      </c>
      <c r="K190" s="623">
        <v>86.9</v>
      </c>
      <c r="L190" s="623">
        <v>90.2</v>
      </c>
      <c r="M190" s="623">
        <v>94.9</v>
      </c>
      <c r="N190" s="623">
        <v>99.8</v>
      </c>
      <c r="O190" s="623">
        <v>99.3</v>
      </c>
      <c r="P190" s="623">
        <v>101.5</v>
      </c>
      <c r="Q190" s="623">
        <v>98.6</v>
      </c>
      <c r="R190" s="623">
        <v>94.3</v>
      </c>
      <c r="S190" s="623">
        <v>100</v>
      </c>
      <c r="T190" s="119">
        <v>105</v>
      </c>
      <c r="U190" s="142">
        <v>107.7</v>
      </c>
    </row>
    <row r="191" spans="1:26" s="465" customFormat="1" ht="15" thickBot="1" x14ac:dyDescent="0.35">
      <c r="A191" s="456" t="s">
        <v>484</v>
      </c>
      <c r="B191" s="626">
        <f>B190/100</f>
        <v>0.74199999999999999</v>
      </c>
      <c r="C191" s="626">
        <f>C190/100</f>
        <v>0.76</v>
      </c>
      <c r="D191" s="626">
        <f>D190/100</f>
        <v>0.76500000000000001</v>
      </c>
      <c r="E191" s="626">
        <f t="shared" ref="E191:U191" si="19">E190/100</f>
        <v>0.754</v>
      </c>
      <c r="F191" s="626">
        <f t="shared" si="19"/>
        <v>0.7659999999999999</v>
      </c>
      <c r="G191" s="626">
        <f t="shared" si="19"/>
        <v>0.76</v>
      </c>
      <c r="H191" s="626">
        <f t="shared" si="19"/>
        <v>0.78599999999999992</v>
      </c>
      <c r="I191" s="626">
        <f t="shared" si="19"/>
        <v>0.80099999999999993</v>
      </c>
      <c r="J191" s="626">
        <f t="shared" si="19"/>
        <v>0.79200000000000004</v>
      </c>
      <c r="K191" s="626">
        <f t="shared" si="19"/>
        <v>0.86900000000000011</v>
      </c>
      <c r="L191" s="626">
        <f t="shared" si="19"/>
        <v>0.90200000000000002</v>
      </c>
      <c r="M191" s="626">
        <f t="shared" si="19"/>
        <v>0.94900000000000007</v>
      </c>
      <c r="N191" s="626">
        <f t="shared" si="19"/>
        <v>0.998</v>
      </c>
      <c r="O191" s="626">
        <f t="shared" si="19"/>
        <v>0.99299999999999999</v>
      </c>
      <c r="P191" s="626">
        <f t="shared" si="19"/>
        <v>1.0149999999999999</v>
      </c>
      <c r="Q191" s="626">
        <f t="shared" si="19"/>
        <v>0.98599999999999999</v>
      </c>
      <c r="R191" s="626">
        <f t="shared" si="19"/>
        <v>0.94299999999999995</v>
      </c>
      <c r="S191" s="626">
        <f t="shared" si="19"/>
        <v>1</v>
      </c>
      <c r="T191" s="626">
        <f>T190/100</f>
        <v>1.05</v>
      </c>
      <c r="U191" s="627">
        <f t="shared" si="19"/>
        <v>1.077</v>
      </c>
    </row>
    <row r="193" spans="1:11" x14ac:dyDescent="0.3">
      <c r="A193" s="92" t="s">
        <v>482</v>
      </c>
    </row>
    <row r="194" spans="1:11" x14ac:dyDescent="0.3">
      <c r="A194" s="92" t="s">
        <v>481</v>
      </c>
    </row>
    <row r="195" spans="1:11" ht="36" customHeight="1" x14ac:dyDescent="0.3">
      <c r="A195" s="971" t="s">
        <v>558</v>
      </c>
      <c r="B195" s="971"/>
      <c r="C195" s="971"/>
      <c r="D195" s="971"/>
      <c r="E195" s="971"/>
      <c r="F195" s="971"/>
      <c r="G195" s="971"/>
      <c r="H195" s="971"/>
      <c r="I195" s="971"/>
      <c r="J195" s="971"/>
      <c r="K195" s="971"/>
    </row>
  </sheetData>
  <mergeCells count="9">
    <mergeCell ref="A195:K195"/>
    <mergeCell ref="A2:M2"/>
    <mergeCell ref="A83:E83"/>
    <mergeCell ref="A108:D108"/>
    <mergeCell ref="A85:M85"/>
    <mergeCell ref="A38:E38"/>
    <mergeCell ref="A6:L6"/>
    <mergeCell ref="A84:K84"/>
    <mergeCell ref="A186:G186"/>
  </mergeCells>
  <hyperlinks>
    <hyperlink ref="A193" r:id="rId1" xr:uid="{ECECE238-03AE-44E0-BC4A-4DE456E29054}"/>
    <hyperlink ref="A194" r:id="rId2" xr:uid="{347297B8-31BD-4328-960C-4286FD219869}"/>
    <hyperlink ref="V179" r:id="rId3" xr:uid="{A32758AF-3CC0-4893-8A0D-1446231A3A0B}"/>
    <hyperlink ref="V174" r:id="rId4" xr:uid="{B51E14DC-B1E2-4940-85E6-D4A2089CDAEA}"/>
    <hyperlink ref="V173" r:id="rId5" xr:uid="{D5CEE183-8B59-48B9-B876-A17B8E1BACCE}"/>
    <hyperlink ref="V178" r:id="rId6" xr:uid="{5480D1F6-B084-4F1A-B8F9-EF9EDA7B152F}"/>
    <hyperlink ref="B5" r:id="rId7" display="ONS November 2017" xr:uid="{5329AF67-9721-49D2-AC54-AC2532F3AD9C}"/>
    <hyperlink ref="B4" r:id="rId8" display="ONS September 2018 (EU imports)" xr:uid="{F2572B63-DDF2-4790-B8E9-CCAD044777ED}"/>
  </hyperlinks>
  <pageMargins left="0.7" right="0.7" top="0.75" bottom="0.75" header="0.3" footer="0.3"/>
  <pageSetup paperSize="9" orientation="portrait" horizontalDpi="200" verticalDpi="200" r:id="rId9"/>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A6AAB-C581-4906-9AA6-2F021BA50957}">
  <dimension ref="A1:AG110"/>
  <sheetViews>
    <sheetView workbookViewId="0">
      <selection activeCell="L19" sqref="L19"/>
    </sheetView>
  </sheetViews>
  <sheetFormatPr defaultRowHeight="14.4" x14ac:dyDescent="0.3"/>
  <cols>
    <col min="1" max="1" width="32.5546875" customWidth="1"/>
    <col min="2" max="2" width="12.44140625" customWidth="1"/>
    <col min="3" max="3" width="14" customWidth="1"/>
    <col min="4" max="4" width="12.88671875" customWidth="1"/>
    <col min="5" max="5" width="26" customWidth="1"/>
  </cols>
  <sheetData>
    <row r="1" spans="1:11" s="465" customFormat="1" ht="44.4" customHeight="1" x14ac:dyDescent="0.45">
      <c r="A1" s="961" t="s">
        <v>969</v>
      </c>
      <c r="B1" s="42"/>
      <c r="C1" s="42"/>
      <c r="D1" s="42"/>
      <c r="E1" s="42"/>
      <c r="F1" s="42"/>
      <c r="G1" s="42"/>
      <c r="H1" s="42"/>
      <c r="I1" s="42"/>
      <c r="J1" s="42"/>
      <c r="K1" s="42"/>
    </row>
    <row r="2" spans="1:11" s="899" customFormat="1" ht="123" customHeight="1" x14ac:dyDescent="0.3">
      <c r="A2" s="972" t="s">
        <v>978</v>
      </c>
      <c r="B2" s="972"/>
      <c r="C2" s="972"/>
      <c r="D2" s="972"/>
      <c r="E2" s="972"/>
      <c r="F2" s="972"/>
      <c r="G2" s="972"/>
      <c r="H2" s="972"/>
      <c r="I2" s="972"/>
      <c r="J2" s="972"/>
      <c r="K2" s="972"/>
    </row>
    <row r="3" spans="1:11" s="899" customFormat="1" ht="17.399999999999999" customHeight="1" x14ac:dyDescent="0.3">
      <c r="A3" s="980" t="s">
        <v>968</v>
      </c>
      <c r="B3" s="980"/>
      <c r="C3" s="980"/>
      <c r="D3" s="980"/>
      <c r="E3" s="980"/>
      <c r="F3" s="980"/>
      <c r="G3" s="941"/>
      <c r="H3" s="941"/>
    </row>
    <row r="4" spans="1:11" s="899" customFormat="1" ht="17.399999999999999" customHeight="1" x14ac:dyDescent="0.3">
      <c r="A4" s="941"/>
      <c r="B4" s="941"/>
      <c r="C4" s="941"/>
      <c r="D4" s="941"/>
      <c r="E4" s="941"/>
      <c r="F4" s="941"/>
      <c r="G4" s="941"/>
      <c r="H4" s="941"/>
    </row>
    <row r="5" spans="1:11" s="465" customFormat="1" ht="18.600000000000001" thickBot="1" x14ac:dyDescent="0.4">
      <c r="A5" s="201" t="s">
        <v>722</v>
      </c>
    </row>
    <row r="6" spans="1:11" s="465" customFormat="1" ht="29.4" x14ac:dyDescent="0.35">
      <c r="A6" s="352" t="s">
        <v>720</v>
      </c>
      <c r="B6" s="357" t="s">
        <v>503</v>
      </c>
      <c r="C6" s="358" t="s">
        <v>746</v>
      </c>
      <c r="D6" s="679" t="s">
        <v>757</v>
      </c>
    </row>
    <row r="7" spans="1:11" s="465" customFormat="1" x14ac:dyDescent="0.3">
      <c r="A7" s="292" t="s">
        <v>488</v>
      </c>
      <c r="B7" s="44">
        <f>'1. All Trade'!B8+'1. All Trade'!B9</f>
        <v>288.91800000000001</v>
      </c>
      <c r="C7" s="668">
        <f>B7-B8</f>
        <v>-64.048000000000002</v>
      </c>
      <c r="D7" s="670">
        <f>C7*1.335</f>
        <v>-85.504080000000002</v>
      </c>
      <c r="E7" s="92"/>
    </row>
    <row r="8" spans="1:11" s="465" customFormat="1" x14ac:dyDescent="0.3">
      <c r="A8" s="292" t="s">
        <v>489</v>
      </c>
      <c r="B8" s="44">
        <f>('2. Trade in Goods'!V178/1000)+'3. Trade in Services'!U174</f>
        <v>352.96600000000001</v>
      </c>
      <c r="C8" s="668"/>
      <c r="D8" s="670"/>
      <c r="E8" s="92"/>
    </row>
    <row r="9" spans="1:11" s="465" customFormat="1" x14ac:dyDescent="0.3">
      <c r="A9" s="292" t="s">
        <v>490</v>
      </c>
      <c r="B9" s="44">
        <f>'2. Trade in Goods'!V177/1000</f>
        <v>172.21100000000001</v>
      </c>
      <c r="C9" s="668">
        <f>B9-B10</f>
        <v>-93.451999999999998</v>
      </c>
      <c r="D9" s="670">
        <f>C9*1.335</f>
        <v>-124.75842</v>
      </c>
      <c r="E9" s="325"/>
    </row>
    <row r="10" spans="1:11" s="465" customFormat="1" x14ac:dyDescent="0.3">
      <c r="A10" s="292" t="s">
        <v>491</v>
      </c>
      <c r="B10" s="44">
        <f>'2. Trade in Goods'!V178/1000</f>
        <v>265.66300000000001</v>
      </c>
      <c r="C10" s="668"/>
      <c r="D10" s="670"/>
    </row>
    <row r="11" spans="1:11" s="465" customFormat="1" x14ac:dyDescent="0.3">
      <c r="A11" s="292" t="s">
        <v>148</v>
      </c>
      <c r="B11" s="44">
        <f>'3. Trade in Services'!U173</f>
        <v>116.70699999999999</v>
      </c>
      <c r="C11" s="668">
        <f>B11-B12</f>
        <v>29.403999999999996</v>
      </c>
      <c r="D11" s="670">
        <f>C11*1.335</f>
        <v>39.254339999999992</v>
      </c>
      <c r="E11" s="92"/>
    </row>
    <row r="12" spans="1:11" s="465" customFormat="1" x14ac:dyDescent="0.3">
      <c r="A12" s="292" t="s">
        <v>492</v>
      </c>
      <c r="B12" s="44">
        <f>'3. Trade in Services'!U174</f>
        <v>87.302999999999997</v>
      </c>
      <c r="C12" s="309"/>
      <c r="D12" s="671"/>
      <c r="E12" s="92"/>
    </row>
    <row r="13" spans="1:11" s="465" customFormat="1" ht="15" thickBot="1" x14ac:dyDescent="0.35">
      <c r="A13" s="359" t="s">
        <v>494</v>
      </c>
      <c r="B13" s="360"/>
      <c r="C13" s="669">
        <f>C7</f>
        <v>-64.048000000000002</v>
      </c>
      <c r="D13" s="672">
        <f>D7</f>
        <v>-85.504080000000002</v>
      </c>
      <c r="E13" s="92"/>
    </row>
    <row r="14" spans="1:11" s="465" customFormat="1" x14ac:dyDescent="0.3">
      <c r="A14" s="92" t="s">
        <v>756</v>
      </c>
      <c r="B14" s="676"/>
      <c r="C14" s="677"/>
      <c r="D14" s="678"/>
      <c r="E14" s="92"/>
    </row>
    <row r="15" spans="1:11" s="465" customFormat="1" x14ac:dyDescent="0.3"/>
    <row r="16" spans="1:11" s="465" customFormat="1" ht="15" thickBot="1" x14ac:dyDescent="0.35">
      <c r="A16" s="6" t="s">
        <v>495</v>
      </c>
    </row>
    <row r="17" spans="1:5" s="465" customFormat="1" ht="18.600000000000001" thickBot="1" x14ac:dyDescent="0.4">
      <c r="A17" s="355" t="s">
        <v>721</v>
      </c>
      <c r="B17" s="356" t="s">
        <v>504</v>
      </c>
    </row>
    <row r="18" spans="1:5" s="465" customFormat="1" x14ac:dyDescent="0.3">
      <c r="A18" s="292" t="s">
        <v>499</v>
      </c>
      <c r="B18" s="349">
        <v>120.34099999999999</v>
      </c>
      <c r="C18" s="92" t="s">
        <v>265</v>
      </c>
      <c r="D18" s="166" t="s">
        <v>709</v>
      </c>
    </row>
    <row r="19" spans="1:5" s="465" customFormat="1" ht="15" thickBot="1" x14ac:dyDescent="0.35">
      <c r="A19" s="292" t="s">
        <v>500</v>
      </c>
      <c r="B19" s="349">
        <v>539.50300000000004</v>
      </c>
      <c r="C19" s="92" t="s">
        <v>265</v>
      </c>
      <c r="D19" s="166" t="s">
        <v>501</v>
      </c>
    </row>
    <row r="20" spans="1:5" s="465" customFormat="1" ht="15" thickBot="1" x14ac:dyDescent="0.35">
      <c r="A20" s="658" t="s">
        <v>519</v>
      </c>
      <c r="B20" s="659">
        <f>B18-B19</f>
        <v>-419.16200000000003</v>
      </c>
      <c r="C20" s="92" t="s">
        <v>708</v>
      </c>
    </row>
    <row r="21" spans="1:5" s="465" customFormat="1" x14ac:dyDescent="0.3">
      <c r="A21" s="292" t="s">
        <v>496</v>
      </c>
      <c r="B21" s="349">
        <v>58.9</v>
      </c>
    </row>
    <row r="22" spans="1:5" s="465" customFormat="1" x14ac:dyDescent="0.3">
      <c r="A22" s="292" t="s">
        <v>497</v>
      </c>
      <c r="B22" s="349">
        <v>18.399999999999999</v>
      </c>
    </row>
    <row r="23" spans="1:5" s="465" customFormat="1" ht="15" thickBot="1" x14ac:dyDescent="0.35">
      <c r="A23" s="288" t="s">
        <v>498</v>
      </c>
      <c r="B23" s="350">
        <f>B21-B22</f>
        <v>40.5</v>
      </c>
    </row>
    <row r="24" spans="1:5" s="465" customFormat="1" ht="15" thickBot="1" x14ac:dyDescent="0.35">
      <c r="A24" s="658" t="s">
        <v>506</v>
      </c>
      <c r="B24" s="659">
        <f>B20+B23</f>
        <v>-378.66200000000003</v>
      </c>
    </row>
    <row r="25" spans="1:5" s="465" customFormat="1" x14ac:dyDescent="0.3">
      <c r="A25" s="44"/>
      <c r="B25" s="44"/>
      <c r="D25" s="92"/>
    </row>
    <row r="26" spans="1:5" s="465" customFormat="1" ht="15" thickBot="1" x14ac:dyDescent="0.35">
      <c r="A26" s="44"/>
      <c r="B26" s="44"/>
    </row>
    <row r="27" spans="1:5" s="465" customFormat="1" ht="18" x14ac:dyDescent="0.35">
      <c r="A27" s="361" t="s">
        <v>508</v>
      </c>
      <c r="B27" s="362" t="s">
        <v>507</v>
      </c>
    </row>
    <row r="28" spans="1:5" s="465" customFormat="1" x14ac:dyDescent="0.3">
      <c r="A28" s="363" t="s">
        <v>505</v>
      </c>
      <c r="B28" s="585">
        <f>-(B24)</f>
        <v>378.66200000000003</v>
      </c>
    </row>
    <row r="29" spans="1:5" s="465" customFormat="1" ht="15" thickBot="1" x14ac:dyDescent="0.35">
      <c r="A29" s="365" t="s">
        <v>518</v>
      </c>
      <c r="B29" s="584">
        <f>-(D13)</f>
        <v>85.504080000000002</v>
      </c>
      <c r="D29" s="62"/>
    </row>
    <row r="30" spans="1:5" s="465" customFormat="1" ht="15" thickBot="1" x14ac:dyDescent="0.35">
      <c r="E30" s="92" t="s">
        <v>265</v>
      </c>
    </row>
    <row r="31" spans="1:5" s="465" customFormat="1" ht="36" x14ac:dyDescent="0.35">
      <c r="A31" s="352" t="s">
        <v>509</v>
      </c>
      <c r="B31" s="655" t="s">
        <v>507</v>
      </c>
      <c r="C31" s="652" t="s">
        <v>511</v>
      </c>
      <c r="E31" s="6" t="s">
        <v>510</v>
      </c>
    </row>
    <row r="32" spans="1:5" s="465" customFormat="1" x14ac:dyDescent="0.3">
      <c r="A32" s="650" t="s">
        <v>505</v>
      </c>
      <c r="B32" s="682">
        <f>B28/(C32/C33)</f>
        <v>60.104746132948947</v>
      </c>
      <c r="C32" s="653">
        <v>18.036999999999999</v>
      </c>
      <c r="D32" s="62"/>
      <c r="E32" s="166" t="s">
        <v>512</v>
      </c>
    </row>
    <row r="33" spans="1:5" s="465" customFormat="1" ht="15" thickBot="1" x14ac:dyDescent="0.35">
      <c r="A33" s="651" t="s">
        <v>518</v>
      </c>
      <c r="B33" s="681">
        <f>-D13</f>
        <v>85.504080000000002</v>
      </c>
      <c r="C33" s="654">
        <v>2.863</v>
      </c>
      <c r="D33" s="62"/>
      <c r="E33" s="465" t="s">
        <v>727</v>
      </c>
    </row>
    <row r="34" spans="1:5" s="465" customFormat="1" ht="15" thickBot="1" x14ac:dyDescent="0.35">
      <c r="A34" s="606" t="s">
        <v>728</v>
      </c>
      <c r="B34" s="657">
        <f>(B33-B32)/B32</f>
        <v>0.42258449625373828</v>
      </c>
      <c r="C34" s="506"/>
      <c r="D34" s="649"/>
    </row>
    <row r="35" spans="1:5" s="465" customFormat="1" ht="15" thickBot="1" x14ac:dyDescent="0.35">
      <c r="D35" s="469"/>
    </row>
    <row r="36" spans="1:5" s="465" customFormat="1" ht="18" x14ac:dyDescent="0.35">
      <c r="A36" s="361" t="s">
        <v>517</v>
      </c>
      <c r="B36" s="367" t="s">
        <v>514</v>
      </c>
      <c r="C36" s="362" t="s">
        <v>513</v>
      </c>
      <c r="D36" s="635"/>
    </row>
    <row r="37" spans="1:5" s="465" customFormat="1" x14ac:dyDescent="0.3">
      <c r="A37" s="363" t="s">
        <v>526</v>
      </c>
      <c r="B37" s="374">
        <f>(B28/C37)*1000</f>
        <v>1176.6998135487881</v>
      </c>
      <c r="C37" s="364">
        <f>321.8</f>
        <v>321.8</v>
      </c>
    </row>
    <row r="38" spans="1:5" s="465" customFormat="1" ht="15" thickBot="1" x14ac:dyDescent="0.35">
      <c r="A38" s="365" t="s">
        <v>527</v>
      </c>
      <c r="B38" s="375">
        <f>(B29/C38)*1000</f>
        <v>1321.5468315301391</v>
      </c>
      <c r="C38" s="366">
        <v>64.7</v>
      </c>
      <c r="D38" s="62"/>
    </row>
    <row r="39" spans="1:5" s="465" customFormat="1" ht="15" thickBot="1" x14ac:dyDescent="0.35">
      <c r="A39" s="606" t="s">
        <v>728</v>
      </c>
      <c r="B39" s="656">
        <f>(B38-B37)/B37</f>
        <v>0.12309598107652403</v>
      </c>
      <c r="C39" s="62"/>
      <c r="D39" s="648"/>
    </row>
    <row r="40" spans="1:5" s="465" customFormat="1" x14ac:dyDescent="0.3">
      <c r="D40" s="649"/>
    </row>
    <row r="41" spans="1:5" s="465" customFormat="1" x14ac:dyDescent="0.3">
      <c r="A41" s="2" t="s">
        <v>520</v>
      </c>
    </row>
    <row r="42" spans="1:5" s="465" customFormat="1" x14ac:dyDescent="0.3">
      <c r="A42" s="325" t="s">
        <v>265</v>
      </c>
    </row>
    <row r="43" spans="1:5" s="465" customFormat="1" x14ac:dyDescent="0.3">
      <c r="A43" s="325" t="s">
        <v>521</v>
      </c>
    </row>
    <row r="44" spans="1:5" s="465" customFormat="1" x14ac:dyDescent="0.3"/>
    <row r="45" spans="1:5" s="465" customFormat="1" x14ac:dyDescent="0.3"/>
    <row r="46" spans="1:5" s="899" customFormat="1" x14ac:dyDescent="0.3"/>
    <row r="47" spans="1:5" s="465" customFormat="1" ht="21" x14ac:dyDescent="0.4">
      <c r="A47" s="563" t="s">
        <v>724</v>
      </c>
    </row>
    <row r="48" spans="1:5" s="465" customFormat="1" ht="15" thickBot="1" x14ac:dyDescent="0.35">
      <c r="A48" s="6" t="s">
        <v>589</v>
      </c>
    </row>
    <row r="49" spans="1:33" s="465" customFormat="1" ht="15" thickBot="1" x14ac:dyDescent="0.35">
      <c r="A49" s="504" t="s">
        <v>719</v>
      </c>
      <c r="B49" s="504" t="s">
        <v>602</v>
      </c>
      <c r="C49" s="543" t="s">
        <v>179</v>
      </c>
    </row>
    <row r="50" spans="1:33" s="465" customFormat="1" x14ac:dyDescent="0.3">
      <c r="A50" s="292" t="s">
        <v>586</v>
      </c>
      <c r="B50" s="513">
        <f>'2. Trade in Goods'!B75</f>
        <v>3.1002118786171984E-3</v>
      </c>
      <c r="C50" s="544" t="s">
        <v>577</v>
      </c>
    </row>
    <row r="51" spans="1:33" s="465" customFormat="1" x14ac:dyDescent="0.3">
      <c r="A51" s="292" t="s">
        <v>587</v>
      </c>
      <c r="B51" s="513">
        <f>AA54</f>
        <v>1.0400000000000003E-2</v>
      </c>
      <c r="C51" s="544" t="s">
        <v>577</v>
      </c>
      <c r="E51" s="546" t="s">
        <v>603</v>
      </c>
    </row>
    <row r="52" spans="1:33" s="465" customFormat="1" ht="15" thickBot="1" x14ac:dyDescent="0.35">
      <c r="A52" s="292" t="s">
        <v>588</v>
      </c>
      <c r="B52" s="513">
        <v>1.5599999999999999E-2</v>
      </c>
      <c r="C52" s="545" t="s">
        <v>214</v>
      </c>
      <c r="E52" s="6" t="s">
        <v>576</v>
      </c>
      <c r="F52" s="6" t="s">
        <v>577</v>
      </c>
      <c r="G52" s="501" t="s">
        <v>265</v>
      </c>
    </row>
    <row r="53" spans="1:33" s="465" customFormat="1" ht="15" thickBot="1" x14ac:dyDescent="0.35">
      <c r="A53" s="288" t="s">
        <v>585</v>
      </c>
      <c r="B53" s="514">
        <f>I72</f>
        <v>2.2429599800198652E-2</v>
      </c>
      <c r="C53" s="647" t="s">
        <v>601</v>
      </c>
      <c r="E53" s="511">
        <v>1998</v>
      </c>
      <c r="F53" s="512">
        <v>1999</v>
      </c>
      <c r="G53" s="512">
        <v>2000</v>
      </c>
      <c r="H53" s="512">
        <v>2001</v>
      </c>
      <c r="I53" s="512">
        <v>2002</v>
      </c>
      <c r="J53" s="512">
        <v>2003</v>
      </c>
      <c r="K53" s="512">
        <v>2004</v>
      </c>
      <c r="L53" s="512">
        <v>2005</v>
      </c>
      <c r="M53" s="512">
        <v>2006</v>
      </c>
      <c r="N53" s="512">
        <v>2007</v>
      </c>
      <c r="O53" s="512">
        <v>2008</v>
      </c>
      <c r="P53" s="512">
        <v>2009</v>
      </c>
      <c r="Q53" s="512">
        <v>2010</v>
      </c>
      <c r="R53" s="512">
        <v>2011</v>
      </c>
      <c r="S53" s="512">
        <v>2012</v>
      </c>
      <c r="T53" s="512">
        <v>2013</v>
      </c>
      <c r="U53" s="512">
        <v>2014</v>
      </c>
      <c r="V53" s="512">
        <v>2015</v>
      </c>
      <c r="W53" s="512">
        <v>2016</v>
      </c>
      <c r="X53" s="512">
        <v>2017</v>
      </c>
      <c r="Y53" s="512">
        <v>2018</v>
      </c>
      <c r="Z53" s="512"/>
      <c r="AA53" s="502" t="s">
        <v>575</v>
      </c>
    </row>
    <row r="54" spans="1:33" s="465" customFormat="1" ht="15" thickBot="1" x14ac:dyDescent="0.35">
      <c r="E54" s="288">
        <v>2.8</v>
      </c>
      <c r="F54" s="381">
        <v>2.4</v>
      </c>
      <c r="G54" s="381">
        <v>3.2</v>
      </c>
      <c r="H54" s="381">
        <v>1.5</v>
      </c>
      <c r="I54" s="381">
        <v>2.4</v>
      </c>
      <c r="J54" s="381">
        <v>2.9</v>
      </c>
      <c r="K54" s="381">
        <v>1.2</v>
      </c>
      <c r="L54" s="381">
        <v>2</v>
      </c>
      <c r="M54" s="381">
        <v>1.8</v>
      </c>
      <c r="N54" s="381">
        <v>1.5</v>
      </c>
      <c r="O54" s="381">
        <v>-0.6</v>
      </c>
      <c r="P54" s="381">
        <v>-1.5</v>
      </c>
      <c r="Q54" s="381">
        <v>1.3</v>
      </c>
      <c r="R54" s="381">
        <v>1.1000000000000001</v>
      </c>
      <c r="S54" s="381">
        <v>-0.7</v>
      </c>
      <c r="T54" s="381">
        <v>-0.4</v>
      </c>
      <c r="U54" s="381">
        <v>0.6</v>
      </c>
      <c r="V54" s="381">
        <v>1</v>
      </c>
      <c r="W54" s="381">
        <v>0.5</v>
      </c>
      <c r="X54" s="381">
        <v>0.1</v>
      </c>
      <c r="Y54" s="381">
        <v>0.5</v>
      </c>
      <c r="Z54" s="381">
        <f>SUM(F54:Y54)</f>
        <v>20.800000000000004</v>
      </c>
      <c r="AA54" s="542">
        <f>Z54/2000</f>
        <v>1.0400000000000003E-2</v>
      </c>
    </row>
    <row r="55" spans="1:33" s="465" customFormat="1" x14ac:dyDescent="0.3"/>
    <row r="56" spans="1:33" s="465" customFormat="1" x14ac:dyDescent="0.3">
      <c r="E56" s="546" t="s">
        <v>604</v>
      </c>
    </row>
    <row r="57" spans="1:33" s="465" customFormat="1" ht="15" thickBot="1" x14ac:dyDescent="0.35">
      <c r="E57" s="6" t="s">
        <v>583</v>
      </c>
      <c r="F57" s="6" t="s">
        <v>578</v>
      </c>
      <c r="G57" s="501" t="s">
        <v>265</v>
      </c>
      <c r="H57" s="6" t="s">
        <v>595</v>
      </c>
      <c r="J57" s="92" t="s">
        <v>596</v>
      </c>
    </row>
    <row r="58" spans="1:33" s="465" customFormat="1" ht="15" thickBot="1" x14ac:dyDescent="0.35">
      <c r="E58" s="504" t="s">
        <v>48</v>
      </c>
      <c r="F58" s="504">
        <v>1998</v>
      </c>
      <c r="G58" s="509">
        <v>1999</v>
      </c>
      <c r="H58" s="509">
        <v>2000</v>
      </c>
      <c r="I58" s="509">
        <v>2001</v>
      </c>
      <c r="J58" s="509">
        <v>2002</v>
      </c>
      <c r="K58" s="509">
        <v>2003</v>
      </c>
      <c r="L58" s="509">
        <v>2004</v>
      </c>
      <c r="M58" s="509">
        <v>2005</v>
      </c>
      <c r="N58" s="509">
        <v>2006</v>
      </c>
      <c r="O58" s="509">
        <v>2007</v>
      </c>
      <c r="P58" s="509">
        <v>2008</v>
      </c>
      <c r="Q58" s="509">
        <v>2009</v>
      </c>
      <c r="R58" s="509">
        <v>2010</v>
      </c>
      <c r="S58" s="509">
        <v>20111</v>
      </c>
      <c r="T58" s="509">
        <v>2012</v>
      </c>
      <c r="U58" s="509">
        <v>2013</v>
      </c>
      <c r="V58" s="509">
        <v>2014</v>
      </c>
      <c r="W58" s="509">
        <v>2015</v>
      </c>
      <c r="X58" s="509">
        <v>2016</v>
      </c>
      <c r="Y58" s="509">
        <v>2017</v>
      </c>
      <c r="Z58" s="510">
        <v>2018</v>
      </c>
      <c r="AA58" s="637">
        <v>2019</v>
      </c>
    </row>
    <row r="59" spans="1:33" s="465" customFormat="1" x14ac:dyDescent="0.3">
      <c r="E59" s="454" t="s">
        <v>597</v>
      </c>
      <c r="F59" s="292">
        <v>152</v>
      </c>
      <c r="G59" s="44">
        <v>154.80000000000001</v>
      </c>
      <c r="H59" s="44">
        <v>168.2</v>
      </c>
      <c r="I59" s="44">
        <v>161.9</v>
      </c>
      <c r="J59" s="44">
        <v>146.6</v>
      </c>
      <c r="K59" s="44">
        <v>155.69999999999999</v>
      </c>
      <c r="L59" s="44">
        <v>171.2</v>
      </c>
      <c r="M59" s="44">
        <v>185.2</v>
      </c>
      <c r="N59" s="44">
        <v>211.9</v>
      </c>
      <c r="O59" s="44">
        <v>244.2</v>
      </c>
      <c r="P59" s="44">
        <v>271.8</v>
      </c>
      <c r="Q59" s="44">
        <v>220.6</v>
      </c>
      <c r="R59" s="44">
        <v>239.6</v>
      </c>
      <c r="S59" s="44">
        <v>269.10000000000002</v>
      </c>
      <c r="T59" s="44">
        <v>265.39999999999998</v>
      </c>
      <c r="U59" s="44">
        <v>262.10000000000002</v>
      </c>
      <c r="V59" s="44">
        <v>276.3</v>
      </c>
      <c r="W59" s="44">
        <v>271.89999999999998</v>
      </c>
      <c r="X59" s="44">
        <v>269.5</v>
      </c>
      <c r="Y59" s="44">
        <v>283.3</v>
      </c>
      <c r="Z59" s="636">
        <v>318.61900000000003</v>
      </c>
      <c r="AA59" s="497"/>
    </row>
    <row r="60" spans="1:33" s="465" customFormat="1" ht="45" customHeight="1" thickBot="1" x14ac:dyDescent="0.35">
      <c r="E60" s="523" t="s">
        <v>598</v>
      </c>
      <c r="F60" s="288">
        <v>-3.6</v>
      </c>
      <c r="G60" s="381">
        <v>-1.4</v>
      </c>
      <c r="H60" s="381">
        <v>1.9</v>
      </c>
      <c r="I60" s="381">
        <v>-1</v>
      </c>
      <c r="J60" s="381">
        <v>-0.7</v>
      </c>
      <c r="K60" s="381">
        <v>1.1000000000000001</v>
      </c>
      <c r="L60" s="381">
        <v>4.5</v>
      </c>
      <c r="M60" s="381">
        <v>2.8</v>
      </c>
      <c r="N60" s="381">
        <v>4.5</v>
      </c>
      <c r="O60" s="381">
        <v>4</v>
      </c>
      <c r="P60" s="381">
        <v>8.6999999999999993</v>
      </c>
      <c r="Q60" s="381">
        <v>-8.3000000000000007</v>
      </c>
      <c r="R60" s="381">
        <v>3.9</v>
      </c>
      <c r="S60" s="381">
        <v>9.8000000000000007</v>
      </c>
      <c r="T60" s="381">
        <v>-1.3</v>
      </c>
      <c r="U60" s="381">
        <v>0.3</v>
      </c>
      <c r="V60" s="381">
        <v>0.4</v>
      </c>
      <c r="W60" s="381">
        <v>-6.2</v>
      </c>
      <c r="X60" s="381">
        <v>-3</v>
      </c>
      <c r="Y60" s="381">
        <v>0.9</v>
      </c>
      <c r="Z60" s="350">
        <v>4.8</v>
      </c>
      <c r="AA60" s="2">
        <v>-0.2</v>
      </c>
      <c r="AB60" s="92" t="s">
        <v>579</v>
      </c>
      <c r="AD60" s="465" t="s">
        <v>580</v>
      </c>
      <c r="AG60" s="465" t="s">
        <v>581</v>
      </c>
    </row>
    <row r="61" spans="1:33" s="465" customFormat="1" x14ac:dyDescent="0.3">
      <c r="AB61" s="465" t="s">
        <v>711</v>
      </c>
    </row>
    <row r="62" spans="1:33" s="465" customFormat="1" ht="15" thickBot="1" x14ac:dyDescent="0.35">
      <c r="E62" s="6" t="s">
        <v>599</v>
      </c>
    </row>
    <row r="63" spans="1:33" s="465" customFormat="1" x14ac:dyDescent="0.3">
      <c r="E63" s="524" t="s">
        <v>592</v>
      </c>
      <c r="F63" s="534">
        <v>100</v>
      </c>
      <c r="G63" s="505">
        <f t="shared" ref="G63:Z63" si="0">G60/100</f>
        <v>-1.3999999999999999E-2</v>
      </c>
      <c r="H63" s="505">
        <f t="shared" si="0"/>
        <v>1.9E-2</v>
      </c>
      <c r="I63" s="505">
        <f t="shared" si="0"/>
        <v>-0.01</v>
      </c>
      <c r="J63" s="505">
        <f t="shared" si="0"/>
        <v>-6.9999999999999993E-3</v>
      </c>
      <c r="K63" s="505">
        <f t="shared" si="0"/>
        <v>1.1000000000000001E-2</v>
      </c>
      <c r="L63" s="505">
        <f t="shared" si="0"/>
        <v>4.4999999999999998E-2</v>
      </c>
      <c r="M63" s="505">
        <f t="shared" si="0"/>
        <v>2.7999999999999997E-2</v>
      </c>
      <c r="N63" s="505">
        <f t="shared" si="0"/>
        <v>4.4999999999999998E-2</v>
      </c>
      <c r="O63" s="505">
        <f t="shared" si="0"/>
        <v>0.04</v>
      </c>
      <c r="P63" s="505">
        <f t="shared" si="0"/>
        <v>8.6999999999999994E-2</v>
      </c>
      <c r="Q63" s="505">
        <f t="shared" si="0"/>
        <v>-8.3000000000000004E-2</v>
      </c>
      <c r="R63" s="505">
        <f t="shared" si="0"/>
        <v>3.9E-2</v>
      </c>
      <c r="S63" s="505">
        <f t="shared" si="0"/>
        <v>9.8000000000000004E-2</v>
      </c>
      <c r="T63" s="505">
        <f t="shared" si="0"/>
        <v>-1.3000000000000001E-2</v>
      </c>
      <c r="U63" s="505">
        <f t="shared" si="0"/>
        <v>3.0000000000000001E-3</v>
      </c>
      <c r="V63" s="505">
        <f t="shared" si="0"/>
        <v>4.0000000000000001E-3</v>
      </c>
      <c r="W63" s="505">
        <f t="shared" si="0"/>
        <v>-6.2E-2</v>
      </c>
      <c r="X63" s="505">
        <f t="shared" si="0"/>
        <v>-0.03</v>
      </c>
      <c r="Y63" s="502">
        <f t="shared" si="0"/>
        <v>9.0000000000000011E-3</v>
      </c>
      <c r="Z63" s="505">
        <f t="shared" si="0"/>
        <v>4.8000000000000001E-2</v>
      </c>
    </row>
    <row r="64" spans="1:33" s="465" customFormat="1" x14ac:dyDescent="0.3">
      <c r="E64" s="292" t="s">
        <v>593</v>
      </c>
      <c r="F64" s="70">
        <v>100</v>
      </c>
      <c r="G64" s="44">
        <f>100+(F63*G63)</f>
        <v>98.6</v>
      </c>
      <c r="H64" s="506">
        <f t="shared" ref="H64:Z64" si="1">G64+(G64*H63)</f>
        <v>100.4734</v>
      </c>
      <c r="I64" s="506">
        <f t="shared" si="1"/>
        <v>99.468665999999999</v>
      </c>
      <c r="J64" s="506">
        <f t="shared" si="1"/>
        <v>98.772385337999992</v>
      </c>
      <c r="K64" s="506">
        <f t="shared" si="1"/>
        <v>99.858881576717991</v>
      </c>
      <c r="L64" s="506">
        <f t="shared" si="1"/>
        <v>104.3525312476703</v>
      </c>
      <c r="M64" s="506">
        <f t="shared" si="1"/>
        <v>107.27440212260507</v>
      </c>
      <c r="N64" s="506">
        <f t="shared" si="1"/>
        <v>112.10175021812229</v>
      </c>
      <c r="O64" s="506">
        <f t="shared" si="1"/>
        <v>116.58582022684718</v>
      </c>
      <c r="P64" s="506">
        <f t="shared" si="1"/>
        <v>126.72878658658288</v>
      </c>
      <c r="Q64" s="506">
        <f t="shared" si="1"/>
        <v>116.21029729989651</v>
      </c>
      <c r="R64" s="506">
        <f t="shared" si="1"/>
        <v>120.74249889459247</v>
      </c>
      <c r="S64" s="506">
        <f t="shared" si="1"/>
        <v>132.57526378626252</v>
      </c>
      <c r="T64" s="506">
        <f t="shared" si="1"/>
        <v>130.85178535704111</v>
      </c>
      <c r="U64" s="506">
        <f t="shared" si="1"/>
        <v>131.24434071311222</v>
      </c>
      <c r="V64" s="506">
        <f t="shared" si="1"/>
        <v>131.76931807596466</v>
      </c>
      <c r="W64" s="506">
        <f t="shared" si="1"/>
        <v>123.59962035525486</v>
      </c>
      <c r="X64" s="506">
        <f t="shared" si="1"/>
        <v>119.89163174459721</v>
      </c>
      <c r="Y64" s="525">
        <f t="shared" si="1"/>
        <v>120.97065643029858</v>
      </c>
      <c r="Z64" s="506">
        <f t="shared" si="1"/>
        <v>126.77724793895291</v>
      </c>
    </row>
    <row r="65" spans="1:28" s="465" customFormat="1" x14ac:dyDescent="0.3">
      <c r="E65" s="351" t="s">
        <v>594</v>
      </c>
      <c r="F65" s="535">
        <f t="shared" ref="F65:X65" si="2">G65</f>
        <v>0.82664675013662059</v>
      </c>
      <c r="G65" s="526">
        <f t="shared" si="2"/>
        <v>0.82664675013662059</v>
      </c>
      <c r="H65" s="526">
        <f t="shared" si="2"/>
        <v>0.82664675013662059</v>
      </c>
      <c r="I65" s="526">
        <f t="shared" si="2"/>
        <v>0.82664675013662059</v>
      </c>
      <c r="J65" s="526">
        <f t="shared" si="2"/>
        <v>0.82664675013662059</v>
      </c>
      <c r="K65" s="526">
        <f t="shared" si="2"/>
        <v>0.82664675013662059</v>
      </c>
      <c r="L65" s="526">
        <f t="shared" si="2"/>
        <v>0.82664675013662059</v>
      </c>
      <c r="M65" s="526">
        <f t="shared" si="2"/>
        <v>0.82664675013662059</v>
      </c>
      <c r="N65" s="526">
        <f t="shared" si="2"/>
        <v>0.82664675013662059</v>
      </c>
      <c r="O65" s="526">
        <f t="shared" si="2"/>
        <v>0.82664675013662059</v>
      </c>
      <c r="P65" s="526">
        <f t="shared" si="2"/>
        <v>0.82664675013662059</v>
      </c>
      <c r="Q65" s="526">
        <f t="shared" si="2"/>
        <v>0.82664675013662059</v>
      </c>
      <c r="R65" s="526">
        <f t="shared" si="2"/>
        <v>0.82664675013662059</v>
      </c>
      <c r="S65" s="526">
        <f t="shared" si="2"/>
        <v>0.82664675013662059</v>
      </c>
      <c r="T65" s="526">
        <f t="shared" si="2"/>
        <v>0.82664675013662059</v>
      </c>
      <c r="U65" s="526">
        <f t="shared" si="2"/>
        <v>0.82664675013662059</v>
      </c>
      <c r="V65" s="526">
        <f t="shared" si="2"/>
        <v>0.82664675013662059</v>
      </c>
      <c r="W65" s="526">
        <f t="shared" si="2"/>
        <v>0.82664675013662059</v>
      </c>
      <c r="X65" s="526">
        <f t="shared" si="2"/>
        <v>0.82664675013662059</v>
      </c>
      <c r="Y65" s="527">
        <f>100/Y64</f>
        <v>0.82664675013662059</v>
      </c>
      <c r="Z65" s="526">
        <v>0.8266</v>
      </c>
    </row>
    <row r="66" spans="1:28" s="465" customFormat="1" x14ac:dyDescent="0.3">
      <c r="E66" s="528" t="s">
        <v>460</v>
      </c>
      <c r="F66" s="536">
        <f t="shared" ref="F66:Z66" si="3">F65*F64</f>
        <v>82.664675013662062</v>
      </c>
      <c r="G66" s="529">
        <f t="shared" si="3"/>
        <v>81.507369563470789</v>
      </c>
      <c r="H66" s="529">
        <f t="shared" si="3"/>
        <v>83.056009585176739</v>
      </c>
      <c r="I66" s="529">
        <f t="shared" si="3"/>
        <v>82.225449489324973</v>
      </c>
      <c r="J66" s="529">
        <f t="shared" si="3"/>
        <v>81.649871342899687</v>
      </c>
      <c r="K66" s="529">
        <f t="shared" si="3"/>
        <v>82.548019927671575</v>
      </c>
      <c r="L66" s="529">
        <f t="shared" si="3"/>
        <v>86.262680824416805</v>
      </c>
      <c r="M66" s="529">
        <f t="shared" si="3"/>
        <v>88.678035887500471</v>
      </c>
      <c r="N66" s="529">
        <f t="shared" si="3"/>
        <v>92.668547502437988</v>
      </c>
      <c r="O66" s="529">
        <f t="shared" si="3"/>
        <v>96.3752894025355</v>
      </c>
      <c r="P66" s="529">
        <f t="shared" si="3"/>
        <v>104.75993958055609</v>
      </c>
      <c r="Q66" s="529">
        <f t="shared" si="3"/>
        <v>96.06486459536994</v>
      </c>
      <c r="R66" s="529">
        <f t="shared" si="3"/>
        <v>99.811394314589364</v>
      </c>
      <c r="S66" s="529">
        <f t="shared" si="3"/>
        <v>109.59291095741912</v>
      </c>
      <c r="T66" s="529">
        <f t="shared" si="3"/>
        <v>108.16820311497267</v>
      </c>
      <c r="U66" s="529">
        <f t="shared" si="3"/>
        <v>108.49270772431758</v>
      </c>
      <c r="V66" s="529">
        <f t="shared" si="3"/>
        <v>108.92667855521485</v>
      </c>
      <c r="W66" s="529">
        <f t="shared" si="3"/>
        <v>102.17322448479153</v>
      </c>
      <c r="X66" s="529">
        <f t="shared" si="3"/>
        <v>99.108027750247771</v>
      </c>
      <c r="Y66" s="530">
        <f t="shared" si="3"/>
        <v>100</v>
      </c>
      <c r="Z66" s="529">
        <f t="shared" si="3"/>
        <v>104.79407314633848</v>
      </c>
    </row>
    <row r="67" spans="1:28" s="465" customFormat="1" ht="15" thickBot="1" x14ac:dyDescent="0.35">
      <c r="E67" s="531" t="s">
        <v>582</v>
      </c>
      <c r="F67" s="537">
        <f>F66/100</f>
        <v>0.82664675013662059</v>
      </c>
      <c r="G67" s="532">
        <f>G66/100</f>
        <v>0.81507369563470788</v>
      </c>
      <c r="H67" s="532">
        <f t="shared" ref="H67:Z67" si="4">H66/100</f>
        <v>0.83056009585176738</v>
      </c>
      <c r="I67" s="532">
        <f t="shared" si="4"/>
        <v>0.82225449489324975</v>
      </c>
      <c r="J67" s="532">
        <f t="shared" si="4"/>
        <v>0.81649871342899683</v>
      </c>
      <c r="K67" s="532">
        <f t="shared" si="4"/>
        <v>0.82548019927671579</v>
      </c>
      <c r="L67" s="532">
        <f t="shared" si="4"/>
        <v>0.86262680824416804</v>
      </c>
      <c r="M67" s="532">
        <f t="shared" si="4"/>
        <v>0.88678035887500473</v>
      </c>
      <c r="N67" s="532">
        <f t="shared" si="4"/>
        <v>0.92668547502437992</v>
      </c>
      <c r="O67" s="532">
        <f t="shared" si="4"/>
        <v>0.96375289402535502</v>
      </c>
      <c r="P67" s="532">
        <f t="shared" si="4"/>
        <v>1.0475993958055609</v>
      </c>
      <c r="Q67" s="532">
        <f t="shared" si="4"/>
        <v>0.96064864595369936</v>
      </c>
      <c r="R67" s="532">
        <f t="shared" si="4"/>
        <v>0.99811394314589363</v>
      </c>
      <c r="S67" s="532">
        <f t="shared" si="4"/>
        <v>1.0959291095741912</v>
      </c>
      <c r="T67" s="532">
        <f t="shared" si="4"/>
        <v>1.0816820311497266</v>
      </c>
      <c r="U67" s="532">
        <f t="shared" si="4"/>
        <v>1.0849270772431758</v>
      </c>
      <c r="V67" s="532">
        <f t="shared" si="4"/>
        <v>1.0892667855521485</v>
      </c>
      <c r="W67" s="532">
        <f t="shared" si="4"/>
        <v>1.0217322448479154</v>
      </c>
      <c r="X67" s="532">
        <f t="shared" si="4"/>
        <v>0.99108027750247774</v>
      </c>
      <c r="Y67" s="533">
        <f t="shared" si="4"/>
        <v>1</v>
      </c>
      <c r="Z67" s="532">
        <f t="shared" si="4"/>
        <v>1.0479407314633848</v>
      </c>
    </row>
    <row r="68" spans="1:28" s="465" customFormat="1" ht="15" thickBot="1" x14ac:dyDescent="0.35">
      <c r="Z68" s="62"/>
    </row>
    <row r="69" spans="1:28" s="465" customFormat="1" ht="15" thickBot="1" x14ac:dyDescent="0.35">
      <c r="E69" s="538" t="s">
        <v>600</v>
      </c>
      <c r="F69" s="540">
        <f>F59/F67</f>
        <v>183.87539777405382</v>
      </c>
      <c r="G69" s="540">
        <f>G59/G67</f>
        <v>189.92147682971827</v>
      </c>
      <c r="H69" s="540">
        <f t="shared" ref="H69:Z69" si="5">H59/H67</f>
        <v>202.51394310908378</v>
      </c>
      <c r="I69" s="540">
        <f t="shared" si="5"/>
        <v>196.89767706410518</v>
      </c>
      <c r="J69" s="540">
        <f t="shared" si="5"/>
        <v>179.54712921020226</v>
      </c>
      <c r="K69" s="540">
        <f t="shared" si="5"/>
        <v>188.61748608437131</v>
      </c>
      <c r="L69" s="540">
        <f t="shared" si="5"/>
        <v>198.46357470441785</v>
      </c>
      <c r="M69" s="540">
        <f t="shared" si="5"/>
        <v>208.84540139674505</v>
      </c>
      <c r="N69" s="540">
        <f t="shared" si="5"/>
        <v>228.664423594667</v>
      </c>
      <c r="O69" s="540">
        <f t="shared" si="5"/>
        <v>253.38445312473991</v>
      </c>
      <c r="P69" s="540">
        <f t="shared" si="5"/>
        <v>259.45032145708421</v>
      </c>
      <c r="Q69" s="540">
        <f t="shared" si="5"/>
        <v>229.63650750894027</v>
      </c>
      <c r="R69" s="540">
        <f t="shared" si="5"/>
        <v>240.05275314040756</v>
      </c>
      <c r="S69" s="540">
        <f t="shared" si="5"/>
        <v>245.5450791927183</v>
      </c>
      <c r="T69" s="540">
        <f t="shared" si="5"/>
        <v>245.35861034679911</v>
      </c>
      <c r="U69" s="540">
        <f t="shared" si="5"/>
        <v>241.58305705301598</v>
      </c>
      <c r="V69" s="540">
        <f t="shared" si="5"/>
        <v>253.65686686199999</v>
      </c>
      <c r="W69" s="540">
        <f t="shared" si="5"/>
        <v>266.1166869999999</v>
      </c>
      <c r="X69" s="540">
        <f t="shared" si="5"/>
        <v>271.9255</v>
      </c>
      <c r="Y69" s="540">
        <f t="shared" si="5"/>
        <v>283.3</v>
      </c>
      <c r="Z69" s="540">
        <f t="shared" si="5"/>
        <v>304.04295818816792</v>
      </c>
    </row>
    <row r="70" spans="1:28" s="465" customFormat="1" ht="15" thickBot="1" x14ac:dyDescent="0.35">
      <c r="Z70" s="62"/>
    </row>
    <row r="71" spans="1:28" s="465" customFormat="1" x14ac:dyDescent="0.3">
      <c r="E71" s="511" t="s">
        <v>712</v>
      </c>
      <c r="F71" s="512"/>
      <c r="G71" s="519" t="s">
        <v>713</v>
      </c>
      <c r="H71" s="517"/>
      <c r="I71" s="518" t="s">
        <v>584</v>
      </c>
      <c r="Z71" s="62"/>
    </row>
    <row r="72" spans="1:28" s="465" customFormat="1" ht="15" thickBot="1" x14ac:dyDescent="0.35">
      <c r="E72" s="507">
        <f>(G69+H69+I69)/3</f>
        <v>196.44436566763576</v>
      </c>
      <c r="F72" s="381"/>
      <c r="G72" s="520">
        <f>(X69+Y69+Z69)/3</f>
        <v>286.42281939605596</v>
      </c>
      <c r="H72" s="381"/>
      <c r="I72" s="515">
        <f>((G72/E72)^(1/17))-1</f>
        <v>2.2429599800198652E-2</v>
      </c>
      <c r="Z72" s="62"/>
    </row>
    <row r="73" spans="1:28" s="465" customFormat="1" x14ac:dyDescent="0.3">
      <c r="A73" s="465" t="s">
        <v>725</v>
      </c>
      <c r="Z73" s="62"/>
    </row>
    <row r="74" spans="1:28" s="465" customFormat="1" x14ac:dyDescent="0.3">
      <c r="Z74" s="62"/>
    </row>
    <row r="75" spans="1:28" s="465" customFormat="1" x14ac:dyDescent="0.3"/>
    <row r="76" spans="1:28" s="465" customFormat="1" ht="21" x14ac:dyDescent="0.4">
      <c r="A76" s="563" t="s">
        <v>726</v>
      </c>
    </row>
    <row r="77" spans="1:28" s="465" customFormat="1" ht="15" thickBot="1" x14ac:dyDescent="0.35">
      <c r="A77" s="465" t="s">
        <v>605</v>
      </c>
      <c r="B77" s="92" t="s">
        <v>577</v>
      </c>
    </row>
    <row r="78" spans="1:28" s="465" customFormat="1" ht="15" thickBot="1" x14ac:dyDescent="0.35">
      <c r="A78" s="547" t="s">
        <v>723</v>
      </c>
      <c r="B78" s="564">
        <f>Y79/100</f>
        <v>1.3999999999999999E-2</v>
      </c>
      <c r="E78" s="504">
        <v>1998</v>
      </c>
      <c r="F78" s="509">
        <v>1999</v>
      </c>
      <c r="G78" s="510">
        <v>2000</v>
      </c>
      <c r="H78" s="504">
        <v>2001</v>
      </c>
      <c r="I78" s="509">
        <v>2002</v>
      </c>
      <c r="J78" s="510">
        <v>2003</v>
      </c>
      <c r="K78" s="504">
        <v>2004</v>
      </c>
      <c r="L78" s="509">
        <v>2005</v>
      </c>
      <c r="M78" s="510">
        <v>2006</v>
      </c>
      <c r="N78" s="504">
        <v>2007</v>
      </c>
      <c r="O78" s="509">
        <v>2008</v>
      </c>
      <c r="P78" s="510">
        <v>2009</v>
      </c>
      <c r="Q78" s="504">
        <v>2010</v>
      </c>
      <c r="R78" s="509">
        <v>2011</v>
      </c>
      <c r="S78" s="510">
        <v>2012</v>
      </c>
      <c r="T78" s="504">
        <v>2013</v>
      </c>
      <c r="U78" s="509">
        <v>2014</v>
      </c>
      <c r="V78" s="510">
        <v>2015</v>
      </c>
      <c r="W78" s="504">
        <v>2016</v>
      </c>
      <c r="X78" s="504">
        <v>2017</v>
      </c>
      <c r="Y78" s="510">
        <v>2018</v>
      </c>
      <c r="Z78" s="504"/>
      <c r="AA78" s="510" t="s">
        <v>714</v>
      </c>
      <c r="AB78" s="504"/>
    </row>
    <row r="79" spans="1:28" s="465" customFormat="1" ht="15" thickBot="1" x14ac:dyDescent="0.35">
      <c r="E79" s="288">
        <v>3.3</v>
      </c>
      <c r="F79" s="381">
        <v>3.2</v>
      </c>
      <c r="G79" s="381">
        <v>3.5</v>
      </c>
      <c r="H79" s="381">
        <v>2.8</v>
      </c>
      <c r="I79" s="381">
        <v>2.5</v>
      </c>
      <c r="J79" s="381">
        <v>3.3</v>
      </c>
      <c r="K79" s="381">
        <v>2.2999999999999998</v>
      </c>
      <c r="L79" s="381">
        <v>3.1</v>
      </c>
      <c r="M79" s="381">
        <v>2.5</v>
      </c>
      <c r="N79" s="381">
        <v>2.5</v>
      </c>
      <c r="O79" s="381">
        <v>-0.3</v>
      </c>
      <c r="P79" s="381">
        <v>-4.2</v>
      </c>
      <c r="Q79" s="381">
        <v>1.7</v>
      </c>
      <c r="R79" s="381">
        <v>1.6</v>
      </c>
      <c r="S79" s="381">
        <v>1.4</v>
      </c>
      <c r="T79" s="381">
        <v>2</v>
      </c>
      <c r="U79" s="381">
        <v>2.9</v>
      </c>
      <c r="V79" s="381">
        <v>2.2999999999999998</v>
      </c>
      <c r="W79" s="381">
        <v>1.8</v>
      </c>
      <c r="X79" s="381">
        <v>1.8</v>
      </c>
      <c r="Y79" s="350">
        <v>1.4</v>
      </c>
      <c r="Z79" s="381"/>
      <c r="AA79" s="350">
        <f>SUM(F79:Y79)/20</f>
        <v>1.9049999999999998</v>
      </c>
      <c r="AB79" s="381"/>
    </row>
    <row r="80" spans="1:28" s="465" customFormat="1" x14ac:dyDescent="0.3"/>
    <row r="81" spans="1:25" s="465" customFormat="1" ht="15" thickBot="1" x14ac:dyDescent="0.35"/>
    <row r="82" spans="1:25" s="465" customFormat="1" x14ac:dyDescent="0.3">
      <c r="A82" s="6" t="s">
        <v>623</v>
      </c>
      <c r="E82" s="552">
        <v>1998</v>
      </c>
      <c r="F82" s="379" t="s">
        <v>1</v>
      </c>
      <c r="G82" s="379" t="s">
        <v>2</v>
      </c>
      <c r="H82" s="379" t="s">
        <v>3</v>
      </c>
      <c r="I82" s="379" t="s">
        <v>4</v>
      </c>
      <c r="J82" s="379" t="s">
        <v>5</v>
      </c>
      <c r="K82" s="379" t="s">
        <v>6</v>
      </c>
      <c r="L82" s="379" t="s">
        <v>7</v>
      </c>
      <c r="M82" s="379" t="s">
        <v>8</v>
      </c>
      <c r="N82" s="379" t="s">
        <v>9</v>
      </c>
      <c r="O82" s="379" t="s">
        <v>10</v>
      </c>
      <c r="P82" s="379" t="s">
        <v>11</v>
      </c>
      <c r="Q82" s="379" t="s">
        <v>12</v>
      </c>
      <c r="R82" s="379" t="s">
        <v>13</v>
      </c>
      <c r="S82" s="379" t="s">
        <v>14</v>
      </c>
      <c r="T82" s="379" t="s">
        <v>15</v>
      </c>
      <c r="U82" s="379" t="s">
        <v>16</v>
      </c>
      <c r="V82" s="379" t="s">
        <v>17</v>
      </c>
      <c r="W82" s="379" t="s">
        <v>18</v>
      </c>
      <c r="X82" s="379">
        <v>2017</v>
      </c>
      <c r="Y82" s="638">
        <v>2018</v>
      </c>
    </row>
    <row r="83" spans="1:25" s="465" customFormat="1" x14ac:dyDescent="0.3">
      <c r="A83" s="465" t="s">
        <v>624</v>
      </c>
      <c r="E83" s="551">
        <v>100111</v>
      </c>
      <c r="F83" s="61">
        <v>102352</v>
      </c>
      <c r="G83" s="61">
        <v>112834</v>
      </c>
      <c r="H83" s="61">
        <v>113941</v>
      </c>
      <c r="I83" s="551">
        <v>114766</v>
      </c>
      <c r="J83" s="61">
        <v>111623</v>
      </c>
      <c r="K83" s="61">
        <v>112324</v>
      </c>
      <c r="L83" s="61">
        <v>121920</v>
      </c>
      <c r="M83" s="551">
        <v>153387</v>
      </c>
      <c r="N83" s="61">
        <v>128176</v>
      </c>
      <c r="O83" s="61">
        <v>142404</v>
      </c>
      <c r="P83" s="61">
        <v>125664</v>
      </c>
      <c r="Q83" s="551">
        <v>144508</v>
      </c>
      <c r="R83" s="61">
        <v>162883</v>
      </c>
      <c r="S83" s="61">
        <v>152501</v>
      </c>
      <c r="T83" s="61">
        <v>151223</v>
      </c>
      <c r="U83" s="551">
        <v>146872</v>
      </c>
      <c r="V83" s="61">
        <v>133664</v>
      </c>
      <c r="W83" s="61">
        <v>142705</v>
      </c>
      <c r="X83" s="61">
        <v>164081</v>
      </c>
      <c r="Y83" s="639">
        <f>172211</f>
        <v>172211</v>
      </c>
    </row>
    <row r="84" spans="1:25" s="465" customFormat="1" x14ac:dyDescent="0.3">
      <c r="A84" s="465" t="s">
        <v>625</v>
      </c>
      <c r="E84" s="556">
        <f>E83/1000</f>
        <v>100.111</v>
      </c>
      <c r="F84" s="557">
        <f>F83/1000</f>
        <v>102.352</v>
      </c>
      <c r="G84" s="557">
        <f t="shared" ref="G84:X84" si="6">G83/1000</f>
        <v>112.834</v>
      </c>
      <c r="H84" s="557">
        <f t="shared" si="6"/>
        <v>113.941</v>
      </c>
      <c r="I84" s="557">
        <f t="shared" si="6"/>
        <v>114.76600000000001</v>
      </c>
      <c r="J84" s="557">
        <f t="shared" si="6"/>
        <v>111.623</v>
      </c>
      <c r="K84" s="557">
        <f t="shared" si="6"/>
        <v>112.324</v>
      </c>
      <c r="L84" s="557">
        <f t="shared" si="6"/>
        <v>121.92</v>
      </c>
      <c r="M84" s="557">
        <f t="shared" si="6"/>
        <v>153.387</v>
      </c>
      <c r="N84" s="557">
        <f t="shared" si="6"/>
        <v>128.17599999999999</v>
      </c>
      <c r="O84" s="557">
        <f t="shared" si="6"/>
        <v>142.404</v>
      </c>
      <c r="P84" s="557">
        <f t="shared" si="6"/>
        <v>125.664</v>
      </c>
      <c r="Q84" s="557">
        <f t="shared" si="6"/>
        <v>144.50800000000001</v>
      </c>
      <c r="R84" s="557">
        <f t="shared" si="6"/>
        <v>162.88300000000001</v>
      </c>
      <c r="S84" s="557">
        <f t="shared" si="6"/>
        <v>152.501</v>
      </c>
      <c r="T84" s="557">
        <f t="shared" si="6"/>
        <v>151.22300000000001</v>
      </c>
      <c r="U84" s="557">
        <f t="shared" si="6"/>
        <v>146.87200000000001</v>
      </c>
      <c r="V84" s="557">
        <f t="shared" si="6"/>
        <v>133.66399999999999</v>
      </c>
      <c r="W84" s="557">
        <f t="shared" si="6"/>
        <v>142.70500000000001</v>
      </c>
      <c r="X84" s="557">
        <f t="shared" si="6"/>
        <v>164.08099999999999</v>
      </c>
      <c r="Y84" s="640">
        <f>Y83/1000</f>
        <v>172.21100000000001</v>
      </c>
    </row>
    <row r="85" spans="1:25" s="465" customFormat="1" x14ac:dyDescent="0.3">
      <c r="A85" s="465" t="s">
        <v>626</v>
      </c>
      <c r="E85" s="551">
        <v>152</v>
      </c>
      <c r="F85" s="61">
        <v>154.80000000000001</v>
      </c>
      <c r="G85" s="61">
        <v>168.2</v>
      </c>
      <c r="H85" s="61">
        <v>161.9</v>
      </c>
      <c r="I85" s="61">
        <v>146.6</v>
      </c>
      <c r="J85" s="61">
        <v>155.69999999999999</v>
      </c>
      <c r="K85" s="61">
        <v>171.2</v>
      </c>
      <c r="L85" s="61">
        <v>185.2</v>
      </c>
      <c r="M85" s="61">
        <v>211.9</v>
      </c>
      <c r="N85" s="61">
        <v>244.2</v>
      </c>
      <c r="O85" s="61">
        <v>271.8</v>
      </c>
      <c r="P85" s="61">
        <v>220.6</v>
      </c>
      <c r="Q85" s="61">
        <v>239.6</v>
      </c>
      <c r="R85" s="61">
        <v>269.10000000000002</v>
      </c>
      <c r="S85" s="61">
        <v>265.39999999999998</v>
      </c>
      <c r="T85" s="61">
        <v>262.10000000000002</v>
      </c>
      <c r="U85" s="61">
        <v>276.3</v>
      </c>
      <c r="V85" s="61">
        <v>271.89999999999998</v>
      </c>
      <c r="W85" s="61">
        <v>269.5</v>
      </c>
      <c r="X85" s="61">
        <v>283.3</v>
      </c>
      <c r="Y85" s="639">
        <f>318.6</f>
        <v>318.60000000000002</v>
      </c>
    </row>
    <row r="86" spans="1:25" s="465" customFormat="1" x14ac:dyDescent="0.3">
      <c r="A86" s="465" t="s">
        <v>758</v>
      </c>
      <c r="C86" s="92" t="s">
        <v>759</v>
      </c>
      <c r="E86" s="554">
        <v>1.6574</v>
      </c>
      <c r="F86" s="17">
        <v>1.6180000000000001</v>
      </c>
      <c r="G86" s="17">
        <v>1.5149999999999999</v>
      </c>
      <c r="H86" s="17">
        <v>1.44</v>
      </c>
      <c r="I86" s="17">
        <v>1.5035000000000001</v>
      </c>
      <c r="J86" s="17">
        <v>1.635</v>
      </c>
      <c r="K86" s="17">
        <v>1.8320000000000001</v>
      </c>
      <c r="L86" s="17">
        <v>1.8189</v>
      </c>
      <c r="M86" s="17">
        <v>1.843</v>
      </c>
      <c r="N86" s="17">
        <v>2.0022000000000002</v>
      </c>
      <c r="O86" s="17">
        <v>1.8528</v>
      </c>
      <c r="P86" s="17">
        <v>1.5665</v>
      </c>
      <c r="Q86" s="17">
        <v>1.546</v>
      </c>
      <c r="R86" s="17">
        <v>1.603</v>
      </c>
      <c r="S86" s="17">
        <v>1.5851</v>
      </c>
      <c r="T86" s="17">
        <v>1.5644</v>
      </c>
      <c r="U86" s="17">
        <v>1.6476999999999999</v>
      </c>
      <c r="V86" s="17">
        <v>1.5286</v>
      </c>
      <c r="W86" s="17">
        <v>1.3542000000000001</v>
      </c>
      <c r="X86" s="17">
        <v>1.2887999999999999</v>
      </c>
      <c r="Y86" s="641">
        <v>1.335</v>
      </c>
    </row>
    <row r="87" spans="1:25" s="465" customFormat="1" ht="15" thickBot="1" x14ac:dyDescent="0.35">
      <c r="A87" s="465" t="s">
        <v>627</v>
      </c>
      <c r="E87" s="559">
        <f>E85/E86</f>
        <v>91.709907083383612</v>
      </c>
      <c r="F87" s="559">
        <f>F85/F86</f>
        <v>95.673671199011125</v>
      </c>
      <c r="G87" s="559">
        <f t="shared" ref="G87:I87" si="7">G85/G86</f>
        <v>111.02310231023102</v>
      </c>
      <c r="H87" s="559">
        <f t="shared" si="7"/>
        <v>112.43055555555556</v>
      </c>
      <c r="I87" s="559">
        <f t="shared" si="7"/>
        <v>97.505819753907545</v>
      </c>
      <c r="J87" s="559">
        <f t="shared" ref="J87:Y87" si="8">J85/J86</f>
        <v>95.229357798165125</v>
      </c>
      <c r="K87" s="559">
        <f t="shared" si="8"/>
        <v>93.449781659388634</v>
      </c>
      <c r="L87" s="559">
        <f t="shared" si="8"/>
        <v>101.81978118643136</v>
      </c>
      <c r="M87" s="559">
        <f t="shared" si="8"/>
        <v>114.97558328811721</v>
      </c>
      <c r="N87" s="559">
        <f t="shared" si="8"/>
        <v>121.96583757866345</v>
      </c>
      <c r="O87" s="559">
        <f t="shared" si="8"/>
        <v>146.69689119170985</v>
      </c>
      <c r="P87" s="559">
        <f t="shared" si="8"/>
        <v>140.82349186083624</v>
      </c>
      <c r="Q87" s="559">
        <f t="shared" si="8"/>
        <v>154.98059508408795</v>
      </c>
      <c r="R87" s="559">
        <f t="shared" si="8"/>
        <v>167.87273861509672</v>
      </c>
      <c r="S87" s="559">
        <f t="shared" si="8"/>
        <v>167.43423127878367</v>
      </c>
      <c r="T87" s="559">
        <f t="shared" si="8"/>
        <v>167.54027103042702</v>
      </c>
      <c r="U87" s="559">
        <f t="shared" si="8"/>
        <v>167.68829277174245</v>
      </c>
      <c r="V87" s="559">
        <f t="shared" si="8"/>
        <v>177.87517990317937</v>
      </c>
      <c r="W87" s="559">
        <f t="shared" si="8"/>
        <v>199.01048589573179</v>
      </c>
      <c r="X87" s="559">
        <f t="shared" si="8"/>
        <v>219.8168839230292</v>
      </c>
      <c r="Y87" s="642">
        <f t="shared" si="8"/>
        <v>238.65168539325845</v>
      </c>
    </row>
    <row r="88" spans="1:25" s="465" customFormat="1" x14ac:dyDescent="0.3"/>
    <row r="89" spans="1:25" s="465" customFormat="1" ht="15" thickBot="1" x14ac:dyDescent="0.35">
      <c r="A89" s="465" t="s">
        <v>628</v>
      </c>
    </row>
    <row r="90" spans="1:25" s="465" customFormat="1" x14ac:dyDescent="0.3">
      <c r="D90" s="465" t="s">
        <v>48</v>
      </c>
      <c r="E90" s="552">
        <v>1998</v>
      </c>
      <c r="F90" s="379" t="s">
        <v>1</v>
      </c>
      <c r="G90" s="379" t="s">
        <v>2</v>
      </c>
      <c r="H90" s="379" t="s">
        <v>3</v>
      </c>
      <c r="I90" s="379" t="s">
        <v>4</v>
      </c>
      <c r="J90" s="379" t="s">
        <v>5</v>
      </c>
      <c r="K90" s="379" t="s">
        <v>6</v>
      </c>
      <c r="L90" s="379" t="s">
        <v>7</v>
      </c>
      <c r="M90" s="379" t="s">
        <v>8</v>
      </c>
      <c r="N90" s="379" t="s">
        <v>9</v>
      </c>
      <c r="O90" s="379" t="s">
        <v>10</v>
      </c>
      <c r="P90" s="379" t="s">
        <v>11</v>
      </c>
      <c r="Q90" s="379" t="s">
        <v>12</v>
      </c>
      <c r="R90" s="379" t="s">
        <v>13</v>
      </c>
      <c r="S90" s="379" t="s">
        <v>14</v>
      </c>
      <c r="T90" s="379" t="s">
        <v>15</v>
      </c>
      <c r="U90" s="379" t="s">
        <v>16</v>
      </c>
      <c r="V90" s="379" t="s">
        <v>17</v>
      </c>
      <c r="W90" s="379" t="s">
        <v>18</v>
      </c>
      <c r="X90" s="553">
        <v>2017</v>
      </c>
      <c r="Y90" s="638">
        <v>2018</v>
      </c>
    </row>
    <row r="91" spans="1:25" s="465" customFormat="1" x14ac:dyDescent="0.3">
      <c r="A91" s="465" t="s">
        <v>629</v>
      </c>
      <c r="D91" s="465" t="s">
        <v>631</v>
      </c>
      <c r="E91" s="551">
        <f>E84</f>
        <v>100.111</v>
      </c>
      <c r="F91" s="44">
        <f>F84</f>
        <v>102.352</v>
      </c>
      <c r="G91" s="44">
        <f t="shared" ref="G91:Y91" si="9">G84</f>
        <v>112.834</v>
      </c>
      <c r="H91" s="44">
        <f t="shared" si="9"/>
        <v>113.941</v>
      </c>
      <c r="I91" s="44">
        <f t="shared" si="9"/>
        <v>114.76600000000001</v>
      </c>
      <c r="J91" s="44">
        <f t="shared" si="9"/>
        <v>111.623</v>
      </c>
      <c r="K91" s="44">
        <f t="shared" si="9"/>
        <v>112.324</v>
      </c>
      <c r="L91" s="44">
        <f t="shared" si="9"/>
        <v>121.92</v>
      </c>
      <c r="M91" s="44">
        <f t="shared" si="9"/>
        <v>153.387</v>
      </c>
      <c r="N91" s="44">
        <f t="shared" si="9"/>
        <v>128.17599999999999</v>
      </c>
      <c r="O91" s="44">
        <f t="shared" si="9"/>
        <v>142.404</v>
      </c>
      <c r="P91" s="44">
        <f t="shared" si="9"/>
        <v>125.664</v>
      </c>
      <c r="Q91" s="44">
        <f t="shared" si="9"/>
        <v>144.50800000000001</v>
      </c>
      <c r="R91" s="44">
        <f t="shared" si="9"/>
        <v>162.88300000000001</v>
      </c>
      <c r="S91" s="44">
        <f t="shared" si="9"/>
        <v>152.501</v>
      </c>
      <c r="T91" s="44">
        <f t="shared" si="9"/>
        <v>151.22300000000001</v>
      </c>
      <c r="U91" s="44">
        <f t="shared" si="9"/>
        <v>146.87200000000001</v>
      </c>
      <c r="V91" s="44">
        <f t="shared" si="9"/>
        <v>133.66399999999999</v>
      </c>
      <c r="W91" s="44">
        <f t="shared" si="9"/>
        <v>142.70500000000001</v>
      </c>
      <c r="X91" s="349">
        <f t="shared" si="9"/>
        <v>164.08099999999999</v>
      </c>
      <c r="Y91" s="544">
        <f t="shared" si="9"/>
        <v>172.21100000000001</v>
      </c>
    </row>
    <row r="92" spans="1:25" s="465" customFormat="1" ht="15" thickBot="1" x14ac:dyDescent="0.35">
      <c r="A92" s="465" t="s">
        <v>630</v>
      </c>
      <c r="D92" s="465" t="s">
        <v>632</v>
      </c>
      <c r="E92" s="680">
        <f>E87</f>
        <v>91.709907083383612</v>
      </c>
      <c r="F92" s="508">
        <f>F87</f>
        <v>95.673671199011125</v>
      </c>
      <c r="G92" s="508">
        <f>G87</f>
        <v>111.02310231023102</v>
      </c>
      <c r="H92" s="508">
        <f>G87</f>
        <v>111.02310231023102</v>
      </c>
      <c r="I92" s="508">
        <f>H87</f>
        <v>112.43055555555556</v>
      </c>
      <c r="J92" s="508">
        <f t="shared" ref="J92:Y92" si="10">J87</f>
        <v>95.229357798165125</v>
      </c>
      <c r="K92" s="508">
        <f t="shared" si="10"/>
        <v>93.449781659388634</v>
      </c>
      <c r="L92" s="508"/>
      <c r="M92" s="508">
        <f t="shared" si="10"/>
        <v>114.97558328811721</v>
      </c>
      <c r="N92" s="508">
        <f t="shared" si="10"/>
        <v>121.96583757866345</v>
      </c>
      <c r="O92" s="508">
        <f t="shared" si="10"/>
        <v>146.69689119170985</v>
      </c>
      <c r="P92" s="508">
        <f t="shared" si="10"/>
        <v>140.82349186083624</v>
      </c>
      <c r="Q92" s="508">
        <f t="shared" si="10"/>
        <v>154.98059508408795</v>
      </c>
      <c r="R92" s="508">
        <f t="shared" si="10"/>
        <v>167.87273861509672</v>
      </c>
      <c r="S92" s="508">
        <f t="shared" si="10"/>
        <v>167.43423127878367</v>
      </c>
      <c r="T92" s="508">
        <f t="shared" si="10"/>
        <v>167.54027103042702</v>
      </c>
      <c r="U92" s="508">
        <f t="shared" si="10"/>
        <v>167.68829277174245</v>
      </c>
      <c r="V92" s="508">
        <f t="shared" si="10"/>
        <v>177.87517990317937</v>
      </c>
      <c r="W92" s="508">
        <f t="shared" si="10"/>
        <v>199.01048589573179</v>
      </c>
      <c r="X92" s="555">
        <f t="shared" si="10"/>
        <v>219.8168839230292</v>
      </c>
      <c r="Y92" s="643">
        <f t="shared" si="10"/>
        <v>238.65168539325845</v>
      </c>
    </row>
    <row r="93" spans="1:25" s="465" customFormat="1" ht="15" thickBot="1" x14ac:dyDescent="0.35"/>
    <row r="94" spans="1:25" s="465" customFormat="1" ht="15" thickBot="1" x14ac:dyDescent="0.35">
      <c r="A94" s="465" t="s">
        <v>729</v>
      </c>
      <c r="C94" s="660">
        <f>W98</f>
        <v>0.3726162276841386</v>
      </c>
    </row>
    <row r="95" spans="1:25" s="465" customFormat="1" x14ac:dyDescent="0.3">
      <c r="U95" s="465" t="s">
        <v>634</v>
      </c>
      <c r="W95" s="465">
        <f>SUM(W91:Y91)/3</f>
        <v>159.66566666666668</v>
      </c>
    </row>
    <row r="96" spans="1:25" s="465" customFormat="1" x14ac:dyDescent="0.3">
      <c r="U96" s="465" t="s">
        <v>635</v>
      </c>
      <c r="W96" s="465">
        <f>SUM(W92:Y92)/3</f>
        <v>219.15968507067313</v>
      </c>
    </row>
    <row r="97" spans="2:23" s="465" customFormat="1" ht="15" thickBot="1" x14ac:dyDescent="0.35">
      <c r="U97" s="465" t="s">
        <v>636</v>
      </c>
      <c r="W97" s="465">
        <f>W96-W95</f>
        <v>59.494018404006454</v>
      </c>
    </row>
    <row r="98" spans="2:23" s="465" customFormat="1" ht="15" thickBot="1" x14ac:dyDescent="0.35">
      <c r="B98" s="22"/>
      <c r="U98" s="644" t="s">
        <v>637</v>
      </c>
      <c r="V98" s="645"/>
      <c r="W98" s="646">
        <f>(W97/W95)</f>
        <v>0.3726162276841386</v>
      </c>
    </row>
    <row r="99" spans="2:23" s="465" customFormat="1" x14ac:dyDescent="0.3"/>
    <row r="100" spans="2:23" s="465" customFormat="1" x14ac:dyDescent="0.3"/>
    <row r="101" spans="2:23" s="465" customFormat="1" x14ac:dyDescent="0.3"/>
    <row r="102" spans="2:23" s="465" customFormat="1" x14ac:dyDescent="0.3"/>
    <row r="103" spans="2:23" s="465" customFormat="1" x14ac:dyDescent="0.3"/>
    <row r="104" spans="2:23" s="465" customFormat="1" x14ac:dyDescent="0.3"/>
    <row r="105" spans="2:23" s="465" customFormat="1" x14ac:dyDescent="0.3"/>
    <row r="106" spans="2:23" s="465" customFormat="1" x14ac:dyDescent="0.3"/>
    <row r="107" spans="2:23" s="465" customFormat="1" x14ac:dyDescent="0.3"/>
    <row r="108" spans="2:23" s="465" customFormat="1" x14ac:dyDescent="0.3"/>
    <row r="109" spans="2:23" s="465" customFormat="1" x14ac:dyDescent="0.3"/>
    <row r="110" spans="2:23" s="465" customFormat="1" x14ac:dyDescent="0.3"/>
  </sheetData>
  <mergeCells count="2">
    <mergeCell ref="A3:F3"/>
    <mergeCell ref="A2:K2"/>
  </mergeCells>
  <hyperlinks>
    <hyperlink ref="C53" r:id="rId1" xr:uid="{8C26F7A8-2CD7-436F-8FAC-62E4A1619BCC}"/>
    <hyperlink ref="C20" r:id="rId2" xr:uid="{9D39ADAA-7EFA-4E24-9DEF-56676D707E74}"/>
    <hyperlink ref="B77" r:id="rId3" xr:uid="{6CE25A23-ABC4-4D9E-8BE0-B71CDED0EF6B}"/>
    <hyperlink ref="J57" r:id="rId4" xr:uid="{30EADBFF-A0F5-4305-9336-68E5AA63EF80}"/>
    <hyperlink ref="C52" r:id="rId5" xr:uid="{44157570-9C1D-43A1-8CD6-E067F77029B7}"/>
    <hyperlink ref="AB60" r:id="rId6" xr:uid="{3B927F2F-5C30-44BD-8B59-FDF30691C0D1}"/>
    <hyperlink ref="G57" r:id="rId7" xr:uid="{6438C111-4089-4E8D-8BCD-8EAF694E282C}"/>
    <hyperlink ref="G52" r:id="rId8" xr:uid="{13184BD6-DD29-4CEC-8A34-FFAD70682DEC}"/>
    <hyperlink ref="A43" r:id="rId9" xr:uid="{733A9C5D-04DE-4AF4-94AB-EBF9175D0D47}"/>
    <hyperlink ref="A42" r:id="rId10" xr:uid="{FFD5F323-4395-4A3B-A286-B244517414B2}"/>
    <hyperlink ref="C19" r:id="rId11" xr:uid="{BFB49247-EA85-430C-AACC-D69E39E84ABE}"/>
    <hyperlink ref="C18" r:id="rId12" xr:uid="{458E9DE3-1B17-42EE-BE64-3066671B107A}"/>
    <hyperlink ref="A14" r:id="rId13" xr:uid="{19744A1C-967C-4BB4-9997-6AE12E148F46}"/>
    <hyperlink ref="C86" r:id="rId14" xr:uid="{882724CF-D0F7-4C96-98B8-6C6DC630CFBC}"/>
    <hyperlink ref="E30" r:id="rId15" xr:uid="{6B6A29FB-C4FC-4BE3-BFAF-4C5283816C20}"/>
  </hyperlinks>
  <pageMargins left="0.7" right="0.7" top="0.75" bottom="0.75" header="0.3" footer="0.3"/>
  <pageSetup orientation="portrait" horizontalDpi="4294967293" verticalDpi="4294967293" r:id="rId16"/>
  <drawing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CDD4F-4D3C-4B9F-BF50-8299CB4BF0A1}">
  <dimension ref="A1:CS211"/>
  <sheetViews>
    <sheetView workbookViewId="0">
      <selection activeCell="H5" sqref="H5"/>
    </sheetView>
  </sheetViews>
  <sheetFormatPr defaultRowHeight="14.4" x14ac:dyDescent="0.3"/>
  <cols>
    <col min="1" max="1" width="41.44140625" style="465" customWidth="1"/>
    <col min="2" max="2" width="13.77734375" style="465" customWidth="1"/>
    <col min="3" max="3" width="13.6640625" style="465" bestFit="1" customWidth="1"/>
    <col min="4" max="4" width="12.77734375" style="465" customWidth="1"/>
    <col min="5" max="5" width="14.88671875" style="465" customWidth="1"/>
    <col min="6" max="6" width="13.33203125" style="465" customWidth="1"/>
    <col min="7" max="7" width="16.5546875" style="465" customWidth="1"/>
    <col min="8" max="8" width="15.5546875" style="465" customWidth="1"/>
    <col min="9" max="9" width="11.44140625" style="465" customWidth="1"/>
    <col min="10" max="20" width="13.77734375" style="465" bestFit="1" customWidth="1"/>
    <col min="21" max="21" width="11.6640625" style="465" customWidth="1"/>
    <col min="22" max="22" width="14.109375" style="465" customWidth="1"/>
    <col min="23" max="24" width="12.33203125" style="465" customWidth="1"/>
    <col min="25" max="25" width="11.6640625" style="465" bestFit="1" customWidth="1"/>
    <col min="26" max="26" width="8.88671875" style="465"/>
    <col min="27" max="27" width="27.6640625" style="465" customWidth="1"/>
    <col min="28" max="28" width="13.5546875" style="465" bestFit="1" customWidth="1"/>
    <col min="29" max="44" width="11.33203125" style="465" bestFit="1" customWidth="1"/>
    <col min="45" max="16384" width="8.88671875" style="465"/>
  </cols>
  <sheetData>
    <row r="1" spans="1:13" s="156" customFormat="1" ht="46.2" customHeight="1" x14ac:dyDescent="0.4">
      <c r="A1" s="960" t="s">
        <v>935</v>
      </c>
      <c r="B1" s="960"/>
      <c r="C1" s="960"/>
      <c r="D1" s="960"/>
      <c r="E1" s="960"/>
      <c r="F1" s="960"/>
      <c r="G1" s="960"/>
      <c r="H1" s="960"/>
      <c r="I1" s="960"/>
      <c r="J1" s="960"/>
      <c r="K1" s="960"/>
    </row>
    <row r="2" spans="1:13" s="156" customFormat="1" ht="160.80000000000001" customHeight="1" x14ac:dyDescent="0.4">
      <c r="A2" s="985" t="s">
        <v>979</v>
      </c>
      <c r="B2" s="985"/>
      <c r="C2" s="985"/>
      <c r="D2" s="985"/>
      <c r="E2" s="985"/>
      <c r="F2" s="985"/>
      <c r="G2" s="985"/>
      <c r="H2" s="985"/>
      <c r="I2" s="985"/>
      <c r="J2" s="985"/>
      <c r="K2" s="985"/>
      <c r="L2" s="750"/>
      <c r="M2" s="750"/>
    </row>
    <row r="3" spans="1:13" s="156" customFormat="1" ht="18.600000000000001" customHeight="1" x14ac:dyDescent="0.4">
      <c r="A3" s="750"/>
      <c r="B3" s="750"/>
      <c r="C3" s="750"/>
      <c r="D3" s="750"/>
      <c r="E3" s="750"/>
      <c r="F3" s="750"/>
      <c r="G3" s="750"/>
      <c r="H3" s="750"/>
      <c r="I3" s="750"/>
      <c r="J3" s="750"/>
      <c r="K3" s="750"/>
      <c r="L3" s="750"/>
      <c r="M3" s="750"/>
    </row>
    <row r="4" spans="1:13" x14ac:dyDescent="0.3">
      <c r="A4" s="758" t="s">
        <v>970</v>
      </c>
      <c r="B4" s="758"/>
    </row>
    <row r="5" spans="1:13" ht="23.4" customHeight="1" thickBot="1" x14ac:dyDescent="0.4">
      <c r="A5" s="95" t="s">
        <v>426</v>
      </c>
      <c r="B5" s="83"/>
      <c r="C5" s="6"/>
      <c r="F5" s="9"/>
    </row>
    <row r="6" spans="1:13" x14ac:dyDescent="0.3">
      <c r="A6" s="283" t="s">
        <v>185</v>
      </c>
      <c r="B6" s="779">
        <v>1999</v>
      </c>
      <c r="C6" s="779">
        <v>2004</v>
      </c>
      <c r="D6" s="779">
        <v>2007</v>
      </c>
      <c r="E6" s="779">
        <v>2014</v>
      </c>
      <c r="F6" s="786">
        <v>2018</v>
      </c>
    </row>
    <row r="7" spans="1:13" x14ac:dyDescent="0.3">
      <c r="A7" s="286" t="s">
        <v>901</v>
      </c>
      <c r="B7" s="780">
        <f>'8. Country data'!B21/1000</f>
        <v>96.418000000000006</v>
      </c>
      <c r="C7" s="788">
        <f>'8. Country data'!H21/1000</f>
        <v>107.077</v>
      </c>
      <c r="D7" s="790">
        <f>'8. Country data'!K21/1000</f>
        <v>120.679</v>
      </c>
      <c r="E7" s="790">
        <f>'8. Country data'!R21/1000</f>
        <v>135.96</v>
      </c>
      <c r="F7" s="787">
        <f>'8. Country data'!V21/1000</f>
        <v>159.458</v>
      </c>
    </row>
    <row r="8" spans="1:13" x14ac:dyDescent="0.3">
      <c r="A8" s="286" t="s">
        <v>902</v>
      </c>
      <c r="B8" s="780"/>
      <c r="C8" s="788">
        <f>('8. Country data'!H21+'8. Country data'!H35)/1000</f>
        <v>111.562</v>
      </c>
      <c r="D8" s="790">
        <f>('8. Country data'!K21+'8. Country data'!K35)/1000</f>
        <v>127.21299999999999</v>
      </c>
      <c r="E8" s="790">
        <f>('8. Country data'!R21+'8. Country data'!R35)/1000</f>
        <v>145.39099999999999</v>
      </c>
      <c r="F8" s="787">
        <f>('8. Country data'!V21+'8. Country data'!V35)/1000</f>
        <v>170.53800000000001</v>
      </c>
    </row>
    <row r="9" spans="1:13" x14ac:dyDescent="0.3">
      <c r="A9" s="292" t="s">
        <v>903</v>
      </c>
      <c r="B9" s="781"/>
      <c r="C9" s="783"/>
      <c r="D9" s="790">
        <f>('8. Country data'!K21+'8. Country data'!K35+'8. Country data'!K41)/1000</f>
        <v>128.05000000000001</v>
      </c>
      <c r="E9" s="790">
        <f>('8. Country data'!R21+'8. Country data'!R35+'8. Country data'!R41)/1000</f>
        <v>146.75700000000001</v>
      </c>
      <c r="F9" s="787">
        <f>('8. Country data'!V21+'8. Country data'!V35+'8. Country data'!V41)/1000</f>
        <v>172.06100000000001</v>
      </c>
    </row>
    <row r="10" spans="1:13" ht="15" thickBot="1" x14ac:dyDescent="0.35">
      <c r="A10" s="531" t="s">
        <v>904</v>
      </c>
      <c r="B10" s="782"/>
      <c r="C10" s="784"/>
      <c r="D10" s="785"/>
      <c r="E10" s="791">
        <f>('8. Country data'!R21+'8. Country data'!R35+'8. Country data'!R41+'8. Country data'!R46)/1000</f>
        <v>146.87200000000001</v>
      </c>
      <c r="F10" s="789">
        <f>('8. Country data'!V21+'8. Country data'!V35+'8. Country data'!V41+'8. Country data'!V46)/1000</f>
        <v>172.21100000000001</v>
      </c>
    </row>
    <row r="11" spans="1:13" ht="15" thickBot="1" x14ac:dyDescent="0.35">
      <c r="A11" s="44"/>
      <c r="B11" s="291"/>
      <c r="C11" s="255"/>
    </row>
    <row r="12" spans="1:13" x14ac:dyDescent="0.3">
      <c r="A12" s="245" t="s">
        <v>907</v>
      </c>
      <c r="B12" s="763" t="s">
        <v>908</v>
      </c>
      <c r="C12" s="759" t="s">
        <v>910</v>
      </c>
    </row>
    <row r="13" spans="1:13" x14ac:dyDescent="0.3">
      <c r="A13" s="775" t="s">
        <v>381</v>
      </c>
      <c r="B13" s="776">
        <f>'8. Country data'!V7/1000</f>
        <v>1.903</v>
      </c>
      <c r="C13" s="982">
        <f>SUM(B13:B26)/B30</f>
        <v>0.92594549709368157</v>
      </c>
    </row>
    <row r="14" spans="1:13" x14ac:dyDescent="0.3">
      <c r="A14" s="760" t="s">
        <v>370</v>
      </c>
      <c r="B14" s="764">
        <f>'8. Country data'!V8/1000</f>
        <v>14.539</v>
      </c>
      <c r="C14" s="983"/>
    </row>
    <row r="15" spans="1:13" x14ac:dyDescent="0.3">
      <c r="A15" s="760" t="s">
        <v>372</v>
      </c>
      <c r="B15" s="764">
        <f>'8. Country data'!V9/1000</f>
        <v>2.6640000000000001</v>
      </c>
      <c r="C15" s="983"/>
    </row>
    <row r="16" spans="1:13" x14ac:dyDescent="0.3">
      <c r="A16" s="760" t="s">
        <v>378</v>
      </c>
      <c r="B16" s="764">
        <f>'8. Country data'!V10/1000</f>
        <v>1.321</v>
      </c>
      <c r="C16" s="983"/>
    </row>
    <row r="17" spans="1:4" x14ac:dyDescent="0.3">
      <c r="A17" s="760" t="s">
        <v>91</v>
      </c>
      <c r="B17" s="764">
        <f>'8. Country data'!V11/1000</f>
        <v>24.483000000000001</v>
      </c>
      <c r="C17" s="983"/>
    </row>
    <row r="18" spans="1:4" x14ac:dyDescent="0.3">
      <c r="A18" s="760" t="s">
        <v>90</v>
      </c>
      <c r="B18" s="764">
        <f>'8. Country data'!V12/1000</f>
        <v>36.517000000000003</v>
      </c>
      <c r="C18" s="983"/>
    </row>
    <row r="19" spans="1:4" x14ac:dyDescent="0.3">
      <c r="A19" s="760" t="s">
        <v>380</v>
      </c>
      <c r="B19" s="764">
        <f>'8. Country data'!V13/1000</f>
        <v>1.069</v>
      </c>
      <c r="C19" s="983"/>
    </row>
    <row r="20" spans="1:4" x14ac:dyDescent="0.3">
      <c r="A20" s="760" t="s">
        <v>889</v>
      </c>
      <c r="B20" s="764">
        <f>'8. Country data'!V14/1000</f>
        <v>22.210999999999999</v>
      </c>
      <c r="C20" s="983"/>
    </row>
    <row r="21" spans="1:4" x14ac:dyDescent="0.3">
      <c r="A21" s="760" t="s">
        <v>374</v>
      </c>
      <c r="B21" s="764">
        <f>'8. Country data'!V15/1000</f>
        <v>10.7</v>
      </c>
      <c r="C21" s="983"/>
    </row>
    <row r="22" spans="1:4" x14ac:dyDescent="0.3">
      <c r="A22" s="760" t="s">
        <v>371</v>
      </c>
      <c r="B22" s="764">
        <f>'8. Country data'!V16/1000</f>
        <v>0.152</v>
      </c>
      <c r="C22" s="983"/>
    </row>
    <row r="23" spans="1:4" x14ac:dyDescent="0.3">
      <c r="A23" s="760" t="s">
        <v>375</v>
      </c>
      <c r="B23" s="764">
        <f>'8. Country data'!V17/1000</f>
        <v>26.486999999999998</v>
      </c>
      <c r="C23" s="983"/>
    </row>
    <row r="24" spans="1:4" x14ac:dyDescent="0.3">
      <c r="A24" s="760" t="s">
        <v>379</v>
      </c>
      <c r="B24" s="764">
        <f>'8. Country data'!V18/1000</f>
        <v>1.4590000000000001</v>
      </c>
      <c r="C24" s="983"/>
    </row>
    <row r="25" spans="1:4" ht="17.399999999999999" customHeight="1" x14ac:dyDescent="0.3">
      <c r="A25" s="760" t="s">
        <v>93</v>
      </c>
      <c r="B25" s="764">
        <f>'8. Country data'!V19/1000</f>
        <v>10.388</v>
      </c>
      <c r="C25" s="983"/>
    </row>
    <row r="26" spans="1:4" ht="15" thickBot="1" x14ac:dyDescent="0.35">
      <c r="A26" s="777" t="s">
        <v>376</v>
      </c>
      <c r="B26" s="778">
        <f>'8. Country data'!V20/1000</f>
        <v>5.5650000000000004</v>
      </c>
      <c r="C26" s="984"/>
    </row>
    <row r="27" spans="1:4" ht="15" thickTop="1" x14ac:dyDescent="0.3">
      <c r="A27" s="766" t="s">
        <v>905</v>
      </c>
      <c r="B27" s="767">
        <f>'8. Country data'!V35/1000</f>
        <v>11.08</v>
      </c>
      <c r="C27" s="768">
        <f>B27/B30</f>
        <v>6.4339676327296147E-2</v>
      </c>
      <c r="D27" s="309"/>
    </row>
    <row r="28" spans="1:4" x14ac:dyDescent="0.3">
      <c r="A28" s="769" t="s">
        <v>906</v>
      </c>
      <c r="B28" s="770">
        <f>'8. Country data'!V41/1000</f>
        <v>1.5229999999999999</v>
      </c>
      <c r="C28" s="771">
        <f>B28/B30</f>
        <v>8.843802080006501E-3</v>
      </c>
      <c r="D28" s="309"/>
    </row>
    <row r="29" spans="1:4" x14ac:dyDescent="0.3">
      <c r="A29" s="772" t="s">
        <v>909</v>
      </c>
      <c r="B29" s="773">
        <f>'8. Country data'!V46/1000</f>
        <v>0.15</v>
      </c>
      <c r="C29" s="774">
        <f>B29/B30</f>
        <v>8.7102449901574211E-4</v>
      </c>
      <c r="D29" s="309"/>
    </row>
    <row r="30" spans="1:4" ht="15" thickBot="1" x14ac:dyDescent="0.35">
      <c r="A30" s="761" t="s">
        <v>911</v>
      </c>
      <c r="B30" s="765">
        <f>SUM(B13:B29)</f>
        <v>172.21100000000004</v>
      </c>
      <c r="C30" s="762">
        <f>B30/B30</f>
        <v>1</v>
      </c>
      <c r="D30" s="309"/>
    </row>
    <row r="31" spans="1:4" x14ac:dyDescent="0.3">
      <c r="A31" s="44"/>
      <c r="B31" s="291"/>
      <c r="C31" s="255"/>
    </row>
    <row r="32" spans="1:4" x14ac:dyDescent="0.3">
      <c r="B32" s="19"/>
    </row>
    <row r="33" spans="1:80" ht="18" x14ac:dyDescent="0.35">
      <c r="A33" s="95" t="s">
        <v>716</v>
      </c>
      <c r="B33" s="83"/>
      <c r="C33" s="6"/>
    </row>
    <row r="34" spans="1:80" s="324" customFormat="1" ht="31.2" customHeight="1" x14ac:dyDescent="0.3">
      <c r="A34" s="975" t="s">
        <v>695</v>
      </c>
      <c r="B34" s="975"/>
      <c r="C34" s="975"/>
      <c r="D34" s="975"/>
      <c r="E34" s="975"/>
      <c r="F34" s="975"/>
      <c r="G34" s="975"/>
      <c r="H34" s="975"/>
      <c r="I34" s="975"/>
    </row>
    <row r="35" spans="1:80" s="6" customFormat="1" ht="20.399999999999999" customHeight="1" thickBot="1" x14ac:dyDescent="0.35">
      <c r="A35" s="6" t="s">
        <v>704</v>
      </c>
    </row>
    <row r="36" spans="1:80" s="44" customFormat="1" ht="45.6" customHeight="1" x14ac:dyDescent="0.3">
      <c r="A36" s="634" t="s">
        <v>703</v>
      </c>
      <c r="B36" s="486" t="s">
        <v>705</v>
      </c>
      <c r="C36" s="486" t="s">
        <v>706</v>
      </c>
      <c r="D36" s="486" t="s">
        <v>701</v>
      </c>
      <c r="E36" s="487" t="s">
        <v>707</v>
      </c>
      <c r="F36" s="801" t="s">
        <v>753</v>
      </c>
    </row>
    <row r="37" spans="1:80" x14ac:dyDescent="0.3">
      <c r="A37" s="454" t="s">
        <v>883</v>
      </c>
      <c r="B37" s="136">
        <f>SUM(C45:E45)/3</f>
        <v>139.58563680133867</v>
      </c>
      <c r="C37" s="151">
        <f>SUM(T45:V45)/3</f>
        <v>141.41830021665118</v>
      </c>
      <c r="D37" s="139">
        <f>(C37-B37)</f>
        <v>1.8326634153125099</v>
      </c>
      <c r="E37" s="798">
        <f>D37/B37</f>
        <v>1.3129312279606509E-2</v>
      </c>
      <c r="F37" s="802">
        <f>((C37/B37)^(1/17))-1</f>
        <v>7.675809050273763E-4</v>
      </c>
      <c r="G37" s="44"/>
      <c r="H37" s="44"/>
      <c r="I37" s="497"/>
      <c r="J37" s="44"/>
      <c r="K37" s="116"/>
      <c r="L37" s="44"/>
      <c r="M37" s="114"/>
      <c r="N37" s="44"/>
      <c r="O37" s="44"/>
      <c r="P37" s="114"/>
    </row>
    <row r="38" spans="1:80" x14ac:dyDescent="0.3">
      <c r="A38" s="454" t="s">
        <v>902</v>
      </c>
      <c r="B38" s="136">
        <f>SUM(C46:E46)/3</f>
        <v>144.5448671082689</v>
      </c>
      <c r="C38" s="151">
        <f>SUM(T46:V46)/3</f>
        <v>151.40057907768494</v>
      </c>
      <c r="D38" s="139">
        <f>(C38-B38)</f>
        <v>6.8557119694160349</v>
      </c>
      <c r="E38" s="798">
        <f>D38/B38</f>
        <v>4.7429646632009971E-2</v>
      </c>
      <c r="F38" s="802">
        <f>((C38/B38)^(1/17))-1</f>
        <v>2.7295541997898187E-3</v>
      </c>
      <c r="K38" s="9"/>
      <c r="M38" s="11"/>
      <c r="P38" s="11"/>
    </row>
    <row r="39" spans="1:80" x14ac:dyDescent="0.3">
      <c r="A39" s="454" t="s">
        <v>903</v>
      </c>
      <c r="B39" s="136">
        <f>SUM(C47:E47)/3</f>
        <v>145.04226081914615</v>
      </c>
      <c r="C39" s="151">
        <f>SUM(T47:V47)/3</f>
        <v>152.83460096387674</v>
      </c>
      <c r="D39" s="139">
        <f>(C39-B39)</f>
        <v>7.7923401447305878</v>
      </c>
      <c r="E39" s="798">
        <f>D39/B39</f>
        <v>5.372461860924032E-2</v>
      </c>
      <c r="F39" s="802">
        <f>((C39/B39)^(1/17))-1</f>
        <v>3.0830453865977603E-3</v>
      </c>
      <c r="K39" s="9"/>
      <c r="M39" s="11"/>
      <c r="P39" s="11"/>
    </row>
    <row r="40" spans="1:80" s="48" customFormat="1" x14ac:dyDescent="0.3">
      <c r="A40" s="454" t="s">
        <v>904</v>
      </c>
      <c r="B40" s="792">
        <f>SUM(C48:E48)/3</f>
        <v>145.1163246474801</v>
      </c>
      <c r="C40" s="793">
        <f>SUM(T48:V48)/3</f>
        <v>152.95713733032676</v>
      </c>
      <c r="D40" s="794">
        <f>(C40-B40)</f>
        <v>7.8408126828466607</v>
      </c>
      <c r="E40" s="799">
        <f>D40/B40</f>
        <v>5.4031224274000478E-2</v>
      </c>
      <c r="F40" s="803">
        <f>((C40/B40)^(1/17))-1</f>
        <v>3.1002118786171984E-3</v>
      </c>
      <c r="G40" s="465"/>
      <c r="H40" s="465"/>
      <c r="I40" s="465"/>
      <c r="J40" s="465"/>
      <c r="K40" s="9"/>
      <c r="L40" s="465"/>
      <c r="M40" s="11"/>
      <c r="N40" s="465"/>
      <c r="O40" s="465"/>
      <c r="P40" s="11"/>
      <c r="Q40" s="58"/>
      <c r="X40" s="59"/>
    </row>
    <row r="41" spans="1:80" ht="15" thickBot="1" x14ac:dyDescent="0.35">
      <c r="A41" s="795" t="s">
        <v>923</v>
      </c>
      <c r="B41" s="488">
        <f>SUM(C49:E49)/3</f>
        <v>4.9592303069302304</v>
      </c>
      <c r="C41" s="489">
        <f>SUM(T49:V49)/3</f>
        <v>9.9822788610337359</v>
      </c>
      <c r="D41" s="479">
        <f>(C41-B41)</f>
        <v>5.0230485541035055</v>
      </c>
      <c r="E41" s="800">
        <f>D41/B41</f>
        <v>1.0128685790381811</v>
      </c>
      <c r="F41" s="804">
        <f>((C41/B41)^(1/17))-1</f>
        <v>4.2009060644680352E-2</v>
      </c>
      <c r="U41" s="10"/>
      <c r="AB41" s="22"/>
    </row>
    <row r="42" spans="1:80" x14ac:dyDescent="0.3">
      <c r="A42" s="4"/>
    </row>
    <row r="43" spans="1:80" x14ac:dyDescent="0.3">
      <c r="A43" s="4" t="s">
        <v>922</v>
      </c>
    </row>
    <row r="44" spans="1:80" s="106" customFormat="1" x14ac:dyDescent="0.3">
      <c r="A44" s="104" t="s">
        <v>199</v>
      </c>
      <c r="B44" s="203" t="s">
        <v>0</v>
      </c>
      <c r="C44" s="105" t="s">
        <v>1</v>
      </c>
      <c r="D44" s="105" t="s">
        <v>2</v>
      </c>
      <c r="E44" s="105" t="s">
        <v>3</v>
      </c>
      <c r="F44" s="105" t="s">
        <v>4</v>
      </c>
      <c r="G44" s="105" t="s">
        <v>5</v>
      </c>
      <c r="H44" s="105" t="s">
        <v>6</v>
      </c>
      <c r="I44" s="105" t="s">
        <v>7</v>
      </c>
      <c r="J44" s="105" t="s">
        <v>8</v>
      </c>
      <c r="K44" s="105" t="s">
        <v>9</v>
      </c>
      <c r="L44" s="105" t="s">
        <v>10</v>
      </c>
      <c r="M44" s="105" t="s">
        <v>11</v>
      </c>
      <c r="N44" s="105" t="s">
        <v>12</v>
      </c>
      <c r="O44" s="105" t="s">
        <v>13</v>
      </c>
      <c r="P44" s="105" t="s">
        <v>14</v>
      </c>
      <c r="Q44" s="105" t="s">
        <v>15</v>
      </c>
      <c r="R44" s="105" t="s">
        <v>16</v>
      </c>
      <c r="S44" s="105" t="s">
        <v>17</v>
      </c>
      <c r="T44" s="105" t="s">
        <v>18</v>
      </c>
      <c r="U44" s="183">
        <v>2017</v>
      </c>
      <c r="V44" s="105">
        <v>2018</v>
      </c>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c r="AS44" s="392"/>
      <c r="AT44" s="392"/>
      <c r="AU44" s="392"/>
      <c r="AV44" s="392"/>
      <c r="AW44" s="392"/>
      <c r="AX44" s="392"/>
      <c r="AY44" s="392"/>
      <c r="AZ44" s="392"/>
      <c r="BA44" s="392"/>
      <c r="BB44" s="392"/>
      <c r="BC44" s="392"/>
      <c r="BD44" s="392"/>
      <c r="BE44" s="392"/>
      <c r="BF44" s="392"/>
      <c r="BG44" s="392"/>
      <c r="BH44" s="392"/>
      <c r="BI44" s="392"/>
      <c r="BJ44" s="392"/>
      <c r="BK44" s="392"/>
      <c r="BL44" s="392"/>
      <c r="BM44" s="392"/>
      <c r="BN44" s="392"/>
      <c r="BO44" s="392"/>
      <c r="BP44" s="392"/>
      <c r="BQ44" s="392"/>
      <c r="BR44" s="392"/>
      <c r="BS44" s="392"/>
      <c r="BT44" s="392"/>
      <c r="BU44" s="392"/>
      <c r="BV44" s="392"/>
      <c r="BW44" s="392"/>
      <c r="BX44" s="392"/>
      <c r="BY44" s="392"/>
      <c r="BZ44" s="392"/>
      <c r="CA44" s="392"/>
      <c r="CB44" s="392"/>
    </row>
    <row r="45" spans="1:80" x14ac:dyDescent="0.3">
      <c r="A45" s="31" t="s">
        <v>913</v>
      </c>
      <c r="B45" s="383">
        <f t="shared" ref="B45:V45" si="0">(B53/1000)/B71</f>
        <v>130.47090663058185</v>
      </c>
      <c r="C45" s="322">
        <f t="shared" si="0"/>
        <v>133.08625336927224</v>
      </c>
      <c r="D45" s="322">
        <f t="shared" si="0"/>
        <v>142.61052631578949</v>
      </c>
      <c r="E45" s="322">
        <f t="shared" si="0"/>
        <v>143.06013071895424</v>
      </c>
      <c r="F45" s="322">
        <f t="shared" si="0"/>
        <v>145.87002652519894</v>
      </c>
      <c r="G45" s="322">
        <f t="shared" si="0"/>
        <v>138.77284595300262</v>
      </c>
      <c r="H45" s="322">
        <f t="shared" si="0"/>
        <v>140.89078947368421</v>
      </c>
      <c r="I45" s="322">
        <f t="shared" si="0"/>
        <v>147.94529262086516</v>
      </c>
      <c r="J45" s="322">
        <f t="shared" si="0"/>
        <v>180.05368289637957</v>
      </c>
      <c r="K45" s="322">
        <f t="shared" si="0"/>
        <v>152.37247474747474</v>
      </c>
      <c r="L45" s="322">
        <f t="shared" si="0"/>
        <v>153.71461449942461</v>
      </c>
      <c r="M45" s="322">
        <f t="shared" si="0"/>
        <v>130.59645232815964</v>
      </c>
      <c r="N45" s="322">
        <f t="shared" si="0"/>
        <v>141.76817702845099</v>
      </c>
      <c r="O45" s="322">
        <f t="shared" si="0"/>
        <v>151.54408817635272</v>
      </c>
      <c r="P45" s="322">
        <f t="shared" si="0"/>
        <v>143.38972809667672</v>
      </c>
      <c r="Q45" s="322">
        <f t="shared" si="0"/>
        <v>138.41674876847293</v>
      </c>
      <c r="R45" s="322">
        <f t="shared" si="0"/>
        <v>137.89046653144018</v>
      </c>
      <c r="S45" s="322">
        <f t="shared" si="0"/>
        <v>131.06150583244963</v>
      </c>
      <c r="T45" s="322">
        <f t="shared" si="0"/>
        <v>131.404</v>
      </c>
      <c r="U45" s="389">
        <f t="shared" si="0"/>
        <v>144.79333333333332</v>
      </c>
      <c r="V45" s="322">
        <f t="shared" si="0"/>
        <v>148.05756731662024</v>
      </c>
      <c r="W45" s="392"/>
      <c r="X45" s="392"/>
      <c r="Y45" s="392"/>
      <c r="Z45" s="392"/>
      <c r="AA45" s="392"/>
      <c r="AB45" s="392"/>
      <c r="AC45" s="392"/>
      <c r="AD45" s="392"/>
      <c r="AE45" s="392"/>
      <c r="AF45" s="392"/>
      <c r="AG45" s="392"/>
      <c r="AH45" s="392"/>
      <c r="AI45" s="392"/>
      <c r="AJ45" s="392"/>
      <c r="AK45" s="392"/>
      <c r="AL45" s="392"/>
      <c r="AM45" s="392"/>
      <c r="AN45" s="392"/>
      <c r="AO45" s="392"/>
      <c r="AP45" s="392"/>
      <c r="AQ45" s="392"/>
      <c r="AR45" s="392"/>
      <c r="AS45" s="392"/>
      <c r="AT45" s="392"/>
      <c r="AU45" s="392"/>
      <c r="AV45" s="392"/>
      <c r="AW45" s="392"/>
      <c r="AX45" s="392"/>
      <c r="AY45" s="392"/>
      <c r="AZ45" s="392"/>
      <c r="BA45" s="392"/>
      <c r="BB45" s="392"/>
      <c r="BC45" s="392"/>
      <c r="BD45" s="392"/>
      <c r="BE45" s="392"/>
      <c r="BF45" s="392"/>
      <c r="BG45" s="392"/>
      <c r="BH45" s="392"/>
      <c r="BI45" s="392"/>
      <c r="BJ45" s="392"/>
      <c r="BK45" s="392"/>
      <c r="BL45" s="392"/>
      <c r="BM45" s="392"/>
      <c r="BN45" s="392"/>
      <c r="BO45" s="392"/>
      <c r="BP45" s="392"/>
      <c r="BQ45" s="392"/>
      <c r="BR45" s="392"/>
      <c r="BS45" s="392"/>
      <c r="BT45" s="392"/>
      <c r="BU45" s="392"/>
      <c r="BV45" s="392"/>
      <c r="BW45" s="392"/>
      <c r="BX45" s="392"/>
      <c r="BY45" s="392"/>
      <c r="BZ45" s="392"/>
      <c r="CA45" s="392"/>
      <c r="CB45" s="392"/>
    </row>
    <row r="46" spans="1:80" x14ac:dyDescent="0.3">
      <c r="A46" s="31" t="s">
        <v>914</v>
      </c>
      <c r="B46" s="383">
        <f>(B54/1000)/B71</f>
        <v>134.9891745602165</v>
      </c>
      <c r="C46" s="383">
        <f>(C54/1000)/C71</f>
        <v>137.49326145552561</v>
      </c>
      <c r="D46" s="383">
        <f t="shared" ref="D46:V46" si="1">(D54/1000)/D71</f>
        <v>147.82499999999999</v>
      </c>
      <c r="E46" s="383">
        <f t="shared" si="1"/>
        <v>148.31633986928105</v>
      </c>
      <c r="F46" s="383">
        <f t="shared" si="1"/>
        <v>151.41777188328911</v>
      </c>
      <c r="G46" s="383">
        <f t="shared" si="1"/>
        <v>144.75456919060053</v>
      </c>
      <c r="H46" s="383">
        <f t="shared" si="1"/>
        <v>146.79210526315788</v>
      </c>
      <c r="I46" s="383">
        <f t="shared" si="1"/>
        <v>154.03689567430027</v>
      </c>
      <c r="J46" s="383">
        <f t="shared" si="1"/>
        <v>190.3657927590512</v>
      </c>
      <c r="K46" s="383">
        <f t="shared" si="1"/>
        <v>160.62247474747474</v>
      </c>
      <c r="L46" s="383">
        <f t="shared" si="1"/>
        <v>162.54660529344071</v>
      </c>
      <c r="M46" s="383">
        <f t="shared" si="1"/>
        <v>138.18514412416852</v>
      </c>
      <c r="N46" s="383">
        <f t="shared" si="1"/>
        <v>151.06322444678608</v>
      </c>
      <c r="O46" s="383">
        <f t="shared" si="1"/>
        <v>161.81362725450902</v>
      </c>
      <c r="P46" s="383">
        <f t="shared" si="1"/>
        <v>152.23061430010071</v>
      </c>
      <c r="Q46" s="383">
        <f t="shared" si="1"/>
        <v>147.6</v>
      </c>
      <c r="R46" s="383">
        <f t="shared" si="1"/>
        <v>147.45537525354968</v>
      </c>
      <c r="S46" s="383">
        <f t="shared" si="1"/>
        <v>140.2661717921527</v>
      </c>
      <c r="T46" s="383">
        <f t="shared" si="1"/>
        <v>141.083</v>
      </c>
      <c r="U46" s="383">
        <f t="shared" si="1"/>
        <v>154.77333333333334</v>
      </c>
      <c r="V46" s="383">
        <f t="shared" si="1"/>
        <v>158.34540389972148</v>
      </c>
      <c r="W46" s="392"/>
      <c r="X46" s="392"/>
      <c r="Y46" s="392"/>
      <c r="Z46" s="392"/>
      <c r="AA46" s="392"/>
      <c r="AB46" s="392"/>
      <c r="AC46" s="392"/>
      <c r="AD46" s="392"/>
      <c r="AE46" s="392"/>
      <c r="AF46" s="392"/>
      <c r="AG46" s="392"/>
      <c r="AH46" s="392"/>
      <c r="AI46" s="392"/>
      <c r="AJ46" s="392"/>
      <c r="AK46" s="392"/>
      <c r="AL46" s="392"/>
      <c r="AM46" s="392"/>
      <c r="AN46" s="392"/>
      <c r="AO46" s="392"/>
      <c r="AP46" s="392"/>
      <c r="AQ46" s="392"/>
      <c r="AR46" s="392"/>
      <c r="AS46" s="392"/>
      <c r="AT46" s="392"/>
      <c r="AU46" s="392"/>
      <c r="AV46" s="392"/>
      <c r="AW46" s="392"/>
      <c r="AX46" s="392"/>
      <c r="AY46" s="392"/>
      <c r="AZ46" s="392"/>
      <c r="BA46" s="392"/>
      <c r="BB46" s="392"/>
      <c r="BC46" s="392"/>
      <c r="BD46" s="392"/>
      <c r="BE46" s="392"/>
      <c r="BF46" s="392"/>
      <c r="BG46" s="392"/>
      <c r="BH46" s="392"/>
      <c r="BI46" s="392"/>
      <c r="BJ46" s="392"/>
      <c r="BK46" s="392"/>
      <c r="BL46" s="392"/>
      <c r="BM46" s="392"/>
      <c r="BN46" s="392"/>
      <c r="BO46" s="392"/>
      <c r="BP46" s="392"/>
      <c r="BQ46" s="392"/>
      <c r="BR46" s="392"/>
      <c r="BS46" s="392"/>
      <c r="BT46" s="392"/>
      <c r="BU46" s="392"/>
      <c r="BV46" s="392"/>
      <c r="BW46" s="392"/>
      <c r="BX46" s="392"/>
      <c r="BY46" s="392"/>
      <c r="BZ46" s="392"/>
      <c r="CA46" s="392"/>
      <c r="CB46" s="392"/>
    </row>
    <row r="47" spans="1:80" x14ac:dyDescent="0.3">
      <c r="A47" s="31" t="s">
        <v>920</v>
      </c>
      <c r="B47" s="383">
        <f>(B55/1000)/B71</f>
        <v>135.35859269282813</v>
      </c>
      <c r="C47" s="383">
        <f t="shared" ref="C47:V47" si="2">(C55/1000)/C71</f>
        <v>137.8679245283019</v>
      </c>
      <c r="D47" s="383">
        <f t="shared" si="2"/>
        <v>148.40526315789472</v>
      </c>
      <c r="E47" s="383">
        <f t="shared" si="2"/>
        <v>148.85359477124183</v>
      </c>
      <c r="F47" s="383">
        <f t="shared" si="2"/>
        <v>152.11936339522546</v>
      </c>
      <c r="G47" s="383">
        <f t="shared" si="2"/>
        <v>145.57963446475196</v>
      </c>
      <c r="H47" s="383">
        <f t="shared" si="2"/>
        <v>147.66842105263157</v>
      </c>
      <c r="I47" s="383">
        <f t="shared" si="2"/>
        <v>155.0114503816794</v>
      </c>
      <c r="J47" s="383">
        <f t="shared" si="2"/>
        <v>191.3470661672909</v>
      </c>
      <c r="K47" s="383">
        <f t="shared" si="2"/>
        <v>161.67929292929293</v>
      </c>
      <c r="L47" s="383">
        <f t="shared" si="2"/>
        <v>163.65592635212889</v>
      </c>
      <c r="M47" s="383">
        <f t="shared" si="2"/>
        <v>139.10088691796008</v>
      </c>
      <c r="N47" s="383">
        <f t="shared" si="2"/>
        <v>152.12328767123287</v>
      </c>
      <c r="O47" s="383">
        <f t="shared" si="2"/>
        <v>163.08617234468937</v>
      </c>
      <c r="P47" s="383">
        <f t="shared" si="2"/>
        <v>153.46324269889226</v>
      </c>
      <c r="Q47" s="383">
        <f t="shared" si="2"/>
        <v>148.8896551724138</v>
      </c>
      <c r="R47" s="383">
        <f t="shared" si="2"/>
        <v>148.84077079107504</v>
      </c>
      <c r="S47" s="383">
        <f t="shared" si="2"/>
        <v>141.62778366914105</v>
      </c>
      <c r="T47" s="383">
        <f t="shared" si="2"/>
        <v>142.57</v>
      </c>
      <c r="U47" s="383">
        <f t="shared" si="2"/>
        <v>156.1742857142857</v>
      </c>
      <c r="V47" s="383">
        <f t="shared" si="2"/>
        <v>159.75951717734449</v>
      </c>
      <c r="W47" s="392"/>
      <c r="X47" s="392"/>
      <c r="Y47" s="392"/>
      <c r="Z47" s="392"/>
      <c r="AA47" s="392"/>
      <c r="AB47" s="392"/>
      <c r="AC47" s="392"/>
      <c r="AD47" s="392"/>
      <c r="AE47" s="392"/>
      <c r="AF47" s="392"/>
      <c r="AG47" s="392"/>
      <c r="AH47" s="392"/>
      <c r="AI47" s="392"/>
      <c r="AJ47" s="392"/>
      <c r="AK47" s="392"/>
      <c r="AL47" s="392"/>
      <c r="AM47" s="392"/>
      <c r="AN47" s="392"/>
      <c r="AO47" s="392"/>
      <c r="AP47" s="392"/>
      <c r="AQ47" s="392"/>
      <c r="AR47" s="392"/>
      <c r="AS47" s="392"/>
      <c r="AT47" s="392"/>
      <c r="AU47" s="392"/>
      <c r="AV47" s="392"/>
      <c r="AW47" s="392"/>
      <c r="AX47" s="392"/>
      <c r="AY47" s="392"/>
      <c r="AZ47" s="392"/>
      <c r="BA47" s="392"/>
      <c r="BB47" s="392"/>
      <c r="BC47" s="392"/>
      <c r="BD47" s="392"/>
      <c r="BE47" s="392"/>
      <c r="BF47" s="392"/>
      <c r="BG47" s="392"/>
      <c r="BH47" s="392"/>
      <c r="BI47" s="392"/>
      <c r="BJ47" s="392"/>
      <c r="BK47" s="392"/>
      <c r="BL47" s="392"/>
      <c r="BM47" s="392"/>
      <c r="BN47" s="392"/>
      <c r="BO47" s="392"/>
      <c r="BP47" s="392"/>
      <c r="BQ47" s="392"/>
      <c r="BR47" s="392"/>
      <c r="BS47" s="392"/>
      <c r="BT47" s="392"/>
      <c r="BU47" s="392"/>
      <c r="BV47" s="392"/>
      <c r="BW47" s="392"/>
      <c r="BX47" s="392"/>
      <c r="BY47" s="392"/>
      <c r="BZ47" s="392"/>
      <c r="CA47" s="392"/>
      <c r="CB47" s="392"/>
    </row>
    <row r="48" spans="1:80" x14ac:dyDescent="0.3">
      <c r="A48" s="31" t="s">
        <v>921</v>
      </c>
      <c r="B48" s="383">
        <f>(B56/1000)/B71</f>
        <v>135.46820027063598</v>
      </c>
      <c r="C48" s="383">
        <f t="shared" ref="C48:V48" si="3">(C56/1000)/C71</f>
        <v>137.94070080862534</v>
      </c>
      <c r="D48" s="383">
        <f t="shared" si="3"/>
        <v>148.46578947368423</v>
      </c>
      <c r="E48" s="383">
        <f t="shared" si="3"/>
        <v>148.94248366013073</v>
      </c>
      <c r="F48" s="383">
        <f t="shared" si="3"/>
        <v>152.20954907161806</v>
      </c>
      <c r="G48" s="383">
        <f t="shared" si="3"/>
        <v>145.72193211488252</v>
      </c>
      <c r="H48" s="383">
        <f t="shared" si="3"/>
        <v>147.79473684210527</v>
      </c>
      <c r="I48" s="383">
        <f t="shared" si="3"/>
        <v>155.1145038167939</v>
      </c>
      <c r="J48" s="383">
        <f t="shared" si="3"/>
        <v>191.49438202247194</v>
      </c>
      <c r="K48" s="383">
        <f t="shared" si="3"/>
        <v>161.83838383838381</v>
      </c>
      <c r="L48" s="383">
        <f t="shared" si="3"/>
        <v>163.87111622554659</v>
      </c>
      <c r="M48" s="383">
        <f t="shared" si="3"/>
        <v>139.3170731707317</v>
      </c>
      <c r="N48" s="383">
        <f t="shared" si="3"/>
        <v>152.27397260273972</v>
      </c>
      <c r="O48" s="383">
        <f t="shared" si="3"/>
        <v>163.20941883767537</v>
      </c>
      <c r="P48" s="383">
        <f t="shared" si="3"/>
        <v>153.57603222557907</v>
      </c>
      <c r="Q48" s="383">
        <f t="shared" si="3"/>
        <v>148.98817733990151</v>
      </c>
      <c r="R48" s="383">
        <f t="shared" si="3"/>
        <v>148.95740365111564</v>
      </c>
      <c r="S48" s="383">
        <f t="shared" si="3"/>
        <v>141.74337221633084</v>
      </c>
      <c r="T48" s="383">
        <f t="shared" si="3"/>
        <v>142.70500000000001</v>
      </c>
      <c r="U48" s="383">
        <f t="shared" si="3"/>
        <v>156.26761904761904</v>
      </c>
      <c r="V48" s="383">
        <f t="shared" si="3"/>
        <v>159.8987929433612</v>
      </c>
      <c r="W48" s="392"/>
      <c r="X48" s="392"/>
      <c r="Y48" s="392"/>
      <c r="Z48" s="392"/>
      <c r="AA48" s="392"/>
      <c r="AB48" s="392"/>
      <c r="AC48" s="392"/>
      <c r="AD48" s="392"/>
      <c r="AE48" s="392"/>
      <c r="AF48" s="392"/>
      <c r="AG48" s="392"/>
      <c r="AH48" s="392"/>
      <c r="AI48" s="392"/>
      <c r="AJ48" s="392"/>
      <c r="AK48" s="392"/>
      <c r="AL48" s="392"/>
      <c r="AM48" s="392"/>
      <c r="AN48" s="392"/>
      <c r="AO48" s="392"/>
      <c r="AP48" s="392"/>
      <c r="AQ48" s="392"/>
      <c r="AR48" s="392"/>
      <c r="AS48" s="392"/>
      <c r="AT48" s="392"/>
      <c r="AU48" s="392"/>
      <c r="AV48" s="392"/>
      <c r="AW48" s="392"/>
      <c r="AX48" s="392"/>
      <c r="AY48" s="392"/>
      <c r="AZ48" s="392"/>
      <c r="BA48" s="392"/>
      <c r="BB48" s="392"/>
      <c r="BC48" s="392"/>
      <c r="BD48" s="392"/>
      <c r="BE48" s="392"/>
      <c r="BF48" s="392"/>
      <c r="BG48" s="392"/>
      <c r="BH48" s="392"/>
      <c r="BI48" s="392"/>
      <c r="BJ48" s="392"/>
      <c r="BK48" s="392"/>
      <c r="BL48" s="392"/>
      <c r="BM48" s="392"/>
      <c r="BN48" s="392"/>
      <c r="BO48" s="392"/>
      <c r="BP48" s="392"/>
      <c r="BQ48" s="392"/>
      <c r="BR48" s="392"/>
      <c r="BS48" s="392"/>
      <c r="BT48" s="392"/>
      <c r="BU48" s="392"/>
      <c r="BV48" s="392"/>
      <c r="BW48" s="392"/>
      <c r="BX48" s="392"/>
      <c r="BY48" s="392"/>
      <c r="BZ48" s="392"/>
      <c r="CA48" s="392"/>
      <c r="CB48" s="392"/>
    </row>
    <row r="49" spans="1:97" ht="15" thickBot="1" x14ac:dyDescent="0.35">
      <c r="A49" s="947" t="s">
        <v>924</v>
      </c>
      <c r="B49" s="948">
        <f>(B61/1000)/B71</f>
        <v>4.5182679296346411</v>
      </c>
      <c r="C49" s="948">
        <f t="shared" ref="C49:V49" si="4">(C61/1000)/C71</f>
        <v>4.4070080862533692</v>
      </c>
      <c r="D49" s="948">
        <f t="shared" si="4"/>
        <v>5.2144736842105264</v>
      </c>
      <c r="E49" s="948">
        <f t="shared" si="4"/>
        <v>5.2562091503267974</v>
      </c>
      <c r="F49" s="948">
        <f t="shared" si="4"/>
        <v>5.547745358090185</v>
      </c>
      <c r="G49" s="948">
        <f t="shared" si="4"/>
        <v>5.9817232375979117</v>
      </c>
      <c r="H49" s="948">
        <f t="shared" si="4"/>
        <v>5.901315789473685</v>
      </c>
      <c r="I49" s="948">
        <f t="shared" si="4"/>
        <v>6.0916030534351151</v>
      </c>
      <c r="J49" s="948">
        <f t="shared" si="4"/>
        <v>10.312109862671662</v>
      </c>
      <c r="K49" s="948">
        <f t="shared" si="4"/>
        <v>8.25</v>
      </c>
      <c r="L49" s="948">
        <f t="shared" si="4"/>
        <v>8.8319907940161091</v>
      </c>
      <c r="M49" s="948">
        <f t="shared" si="4"/>
        <v>7.5886917960088685</v>
      </c>
      <c r="N49" s="948">
        <f t="shared" si="4"/>
        <v>9.2950474183350895</v>
      </c>
      <c r="O49" s="948">
        <f t="shared" si="4"/>
        <v>10.269539078156313</v>
      </c>
      <c r="P49" s="948">
        <f t="shared" si="4"/>
        <v>8.8408862034239686</v>
      </c>
      <c r="Q49" s="948">
        <f t="shared" si="4"/>
        <v>9.1832512315270947</v>
      </c>
      <c r="R49" s="948">
        <f>(R61/1000)/R71</f>
        <v>9.5649087221095321</v>
      </c>
      <c r="S49" s="948">
        <f t="shared" si="4"/>
        <v>9.2046659597030747</v>
      </c>
      <c r="T49" s="948">
        <f t="shared" si="4"/>
        <v>9.6790000000000003</v>
      </c>
      <c r="U49" s="948">
        <f t="shared" si="4"/>
        <v>9.9799999999999986</v>
      </c>
      <c r="V49" s="948">
        <f t="shared" si="4"/>
        <v>10.287836583101207</v>
      </c>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2"/>
      <c r="AZ49" s="392"/>
      <c r="BA49" s="392"/>
      <c r="BB49" s="392"/>
      <c r="BC49" s="392"/>
      <c r="BD49" s="392"/>
      <c r="BE49" s="392"/>
      <c r="BF49" s="392"/>
      <c r="BG49" s="392"/>
      <c r="BH49" s="392"/>
      <c r="BI49" s="392"/>
      <c r="BJ49" s="392"/>
      <c r="BK49" s="392"/>
      <c r="BL49" s="392"/>
      <c r="BM49" s="392"/>
      <c r="BN49" s="392"/>
      <c r="BO49" s="392"/>
      <c r="BP49" s="392"/>
      <c r="BQ49" s="392"/>
      <c r="BR49" s="392"/>
      <c r="BS49" s="392"/>
      <c r="BT49" s="392"/>
      <c r="BU49" s="392"/>
      <c r="BV49" s="392"/>
      <c r="BW49" s="392"/>
      <c r="BX49" s="392"/>
      <c r="BY49" s="392"/>
      <c r="BZ49" s="392"/>
      <c r="CA49" s="392"/>
      <c r="CB49" s="392"/>
    </row>
    <row r="51" spans="1:97" ht="18" x14ac:dyDescent="0.35">
      <c r="A51" s="201" t="s">
        <v>912</v>
      </c>
      <c r="AA51" s="6"/>
    </row>
    <row r="52" spans="1:97" s="106" customFormat="1" x14ac:dyDescent="0.3">
      <c r="A52" s="104" t="s">
        <v>182</v>
      </c>
      <c r="B52" s="105">
        <v>1998</v>
      </c>
      <c r="C52" s="105" t="s">
        <v>1</v>
      </c>
      <c r="D52" s="105" t="s">
        <v>2</v>
      </c>
      <c r="E52" s="105" t="s">
        <v>3</v>
      </c>
      <c r="F52" s="105" t="s">
        <v>4</v>
      </c>
      <c r="G52" s="105" t="s">
        <v>5</v>
      </c>
      <c r="H52" s="105" t="s">
        <v>6</v>
      </c>
      <c r="I52" s="105" t="s">
        <v>7</v>
      </c>
      <c r="J52" s="105" t="s">
        <v>8</v>
      </c>
      <c r="K52" s="105" t="s">
        <v>9</v>
      </c>
      <c r="L52" s="105" t="s">
        <v>10</v>
      </c>
      <c r="M52" s="105" t="s">
        <v>11</v>
      </c>
      <c r="N52" s="105" t="s">
        <v>12</v>
      </c>
      <c r="O52" s="105" t="s">
        <v>13</v>
      </c>
      <c r="P52" s="105" t="s">
        <v>14</v>
      </c>
      <c r="Q52" s="105" t="s">
        <v>15</v>
      </c>
      <c r="R52" s="105" t="s">
        <v>16</v>
      </c>
      <c r="S52" s="105" t="s">
        <v>17</v>
      </c>
      <c r="T52" s="105" t="s">
        <v>18</v>
      </c>
      <c r="U52" s="105">
        <v>2017</v>
      </c>
      <c r="V52" s="105">
        <v>2018</v>
      </c>
      <c r="AB52" s="749">
        <v>2019</v>
      </c>
      <c r="AC52" s="749">
        <v>2020</v>
      </c>
      <c r="AD52" s="749">
        <v>2021</v>
      </c>
      <c r="AE52" s="749">
        <v>2022</v>
      </c>
      <c r="AF52" s="749">
        <v>2023</v>
      </c>
      <c r="AG52" s="749">
        <v>2024</v>
      </c>
      <c r="AH52" s="749">
        <v>2025</v>
      </c>
      <c r="AI52" s="749">
        <v>2026</v>
      </c>
      <c r="AJ52" s="749">
        <v>2027</v>
      </c>
      <c r="AK52" s="749">
        <v>2028</v>
      </c>
      <c r="AL52" s="749">
        <v>2029</v>
      </c>
      <c r="AM52" s="749">
        <v>2030</v>
      </c>
      <c r="AN52" s="749">
        <v>2031</v>
      </c>
      <c r="AO52" s="749">
        <v>2032</v>
      </c>
      <c r="AP52" s="749">
        <v>2033</v>
      </c>
      <c r="AQ52" s="749">
        <v>2034</v>
      </c>
      <c r="AR52" s="749">
        <v>2035</v>
      </c>
    </row>
    <row r="53" spans="1:97" x14ac:dyDescent="0.3">
      <c r="A53" s="31" t="s">
        <v>913</v>
      </c>
      <c r="B53" s="580">
        <f>'8. Country data'!B21</f>
        <v>96418</v>
      </c>
      <c r="C53" s="580">
        <f>'8. Country data'!C21</f>
        <v>98750</v>
      </c>
      <c r="D53" s="580">
        <f>'8. Country data'!D21</f>
        <v>108384</v>
      </c>
      <c r="E53" s="580">
        <f>'8. Country data'!E21</f>
        <v>109441</v>
      </c>
      <c r="F53" s="580">
        <f>'8. Country data'!F21</f>
        <v>109986</v>
      </c>
      <c r="G53" s="580">
        <f>'8. Country data'!G21</f>
        <v>106300</v>
      </c>
      <c r="H53" s="580">
        <f>'8. Country data'!H21</f>
        <v>107077</v>
      </c>
      <c r="I53" s="580">
        <f>'8. Country data'!I21</f>
        <v>116285</v>
      </c>
      <c r="J53" s="580">
        <f>'8. Country data'!J21</f>
        <v>144223</v>
      </c>
      <c r="K53" s="580">
        <f>'8. Country data'!K21</f>
        <v>120679</v>
      </c>
      <c r="L53" s="580">
        <f>'8. Country data'!L21</f>
        <v>133578</v>
      </c>
      <c r="M53" s="580">
        <f>'8. Country data'!M21</f>
        <v>117798</v>
      </c>
      <c r="N53" s="580">
        <f>'8. Country data'!N21</f>
        <v>134538</v>
      </c>
      <c r="O53" s="580">
        <f>'8. Country data'!O21</f>
        <v>151241</v>
      </c>
      <c r="P53" s="580">
        <f>'8. Country data'!P21</f>
        <v>142386</v>
      </c>
      <c r="Q53" s="580">
        <f>'8. Country data'!Q21</f>
        <v>140493</v>
      </c>
      <c r="R53" s="580">
        <f>'8. Country data'!R21</f>
        <v>135960</v>
      </c>
      <c r="S53" s="580">
        <f>'8. Country data'!S21</f>
        <v>123591</v>
      </c>
      <c r="T53" s="580">
        <f>'8. Country data'!T21</f>
        <v>131404</v>
      </c>
      <c r="U53" s="580">
        <f>'8. Country data'!U21</f>
        <v>152033</v>
      </c>
      <c r="V53" s="580">
        <f>'8. Country data'!V21</f>
        <v>159458</v>
      </c>
      <c r="W53" s="92"/>
      <c r="AB53" s="465" t="e">
        <f>V53+(AB57*V53)</f>
        <v>#REF!</v>
      </c>
      <c r="AC53" s="465" t="e">
        <f t="shared" ref="AC53:AR53" si="5">(AB53*AC57)+AB53</f>
        <v>#REF!</v>
      </c>
      <c r="AD53" s="465" t="e">
        <f t="shared" si="5"/>
        <v>#REF!</v>
      </c>
      <c r="AE53" s="465" t="e">
        <f t="shared" si="5"/>
        <v>#REF!</v>
      </c>
      <c r="AF53" s="465" t="e">
        <f t="shared" si="5"/>
        <v>#REF!</v>
      </c>
      <c r="AG53" s="465" t="e">
        <f t="shared" si="5"/>
        <v>#REF!</v>
      </c>
      <c r="AH53" s="465" t="e">
        <f t="shared" si="5"/>
        <v>#REF!</v>
      </c>
      <c r="AI53" s="465" t="e">
        <f t="shared" si="5"/>
        <v>#REF!</v>
      </c>
      <c r="AJ53" s="465" t="e">
        <f t="shared" si="5"/>
        <v>#REF!</v>
      </c>
      <c r="AK53" s="465" t="e">
        <f t="shared" si="5"/>
        <v>#REF!</v>
      </c>
      <c r="AL53" s="465" t="e">
        <f t="shared" si="5"/>
        <v>#REF!</v>
      </c>
      <c r="AM53" s="465" t="e">
        <f t="shared" si="5"/>
        <v>#REF!</v>
      </c>
      <c r="AN53" s="465" t="e">
        <f t="shared" si="5"/>
        <v>#REF!</v>
      </c>
      <c r="AO53" s="465" t="e">
        <f t="shared" si="5"/>
        <v>#REF!</v>
      </c>
      <c r="AP53" s="465" t="e">
        <f t="shared" si="5"/>
        <v>#REF!</v>
      </c>
      <c r="AQ53" s="465" t="e">
        <f t="shared" si="5"/>
        <v>#REF!</v>
      </c>
      <c r="AR53" s="465" t="e">
        <f t="shared" si="5"/>
        <v>#REF!</v>
      </c>
    </row>
    <row r="54" spans="1:97" x14ac:dyDescent="0.3">
      <c r="A54" s="31" t="s">
        <v>915</v>
      </c>
      <c r="B54" s="580">
        <f>'8. Country data'!B21+'8. Country data'!B35</f>
        <v>99757</v>
      </c>
      <c r="C54" s="580">
        <f>'8. Country data'!C21+'8. Country data'!C35</f>
        <v>102020</v>
      </c>
      <c r="D54" s="580">
        <f>'8. Country data'!D21+'8. Country data'!D35</f>
        <v>112347</v>
      </c>
      <c r="E54" s="580">
        <f>'8. Country data'!E21+'8. Country data'!E35</f>
        <v>113462</v>
      </c>
      <c r="F54" s="580">
        <f>'8. Country data'!F21+'8. Country data'!F35</f>
        <v>114169</v>
      </c>
      <c r="G54" s="580">
        <f>'8. Country data'!G21+'8. Country data'!G35</f>
        <v>110882</v>
      </c>
      <c r="H54" s="580">
        <f>'8. Country data'!H21+'8. Country data'!H35</f>
        <v>111562</v>
      </c>
      <c r="I54" s="580">
        <f>'8. Country data'!I21+'8. Country data'!I35</f>
        <v>121073</v>
      </c>
      <c r="J54" s="580">
        <f>'8. Country data'!J21+'8. Country data'!J35</f>
        <v>152483</v>
      </c>
      <c r="K54" s="580">
        <f>'8. Country data'!K21+'8. Country data'!K35</f>
        <v>127213</v>
      </c>
      <c r="L54" s="580">
        <f>'8. Country data'!L21+'8. Country data'!L35</f>
        <v>141253</v>
      </c>
      <c r="M54" s="580">
        <f>'8. Country data'!M21+'8. Country data'!M35</f>
        <v>124643</v>
      </c>
      <c r="N54" s="580">
        <f>'8. Country data'!N21+'8. Country data'!N35</f>
        <v>143359</v>
      </c>
      <c r="O54" s="580">
        <f>'8. Country data'!O21+'8. Country data'!O35</f>
        <v>161490</v>
      </c>
      <c r="P54" s="580">
        <f>'8. Country data'!P21+'8. Country data'!P35</f>
        <v>151165</v>
      </c>
      <c r="Q54" s="580">
        <f>'8. Country data'!Q21+'8. Country data'!Q35</f>
        <v>149814</v>
      </c>
      <c r="R54" s="580">
        <f>'8. Country data'!R21+'8. Country data'!R35</f>
        <v>145391</v>
      </c>
      <c r="S54" s="580">
        <f>'8. Country data'!S21+'8. Country data'!S35</f>
        <v>132271</v>
      </c>
      <c r="T54" s="580">
        <f>'8. Country data'!T21+'8. Country data'!T35</f>
        <v>141083</v>
      </c>
      <c r="U54" s="580">
        <f>'8. Country data'!U21+'8. Country data'!U35</f>
        <v>162512</v>
      </c>
      <c r="V54" s="580">
        <f>'8. Country data'!V21+'8. Country data'!V35</f>
        <v>170538</v>
      </c>
      <c r="W54" s="92"/>
      <c r="X54" s="376"/>
      <c r="AB54" s="465" t="e">
        <f>V54+(AB58*V54)</f>
        <v>#REF!</v>
      </c>
      <c r="AC54" s="465" t="e">
        <f t="shared" ref="AC54:AR54" si="6">(AB54*AC58)+AB54</f>
        <v>#REF!</v>
      </c>
      <c r="AD54" s="465" t="e">
        <f t="shared" si="6"/>
        <v>#REF!</v>
      </c>
      <c r="AE54" s="465" t="e">
        <f t="shared" si="6"/>
        <v>#REF!</v>
      </c>
      <c r="AF54" s="465" t="e">
        <f t="shared" si="6"/>
        <v>#REF!</v>
      </c>
      <c r="AG54" s="465" t="e">
        <f t="shared" si="6"/>
        <v>#REF!</v>
      </c>
      <c r="AH54" s="465" t="e">
        <f t="shared" si="6"/>
        <v>#REF!</v>
      </c>
      <c r="AI54" s="465" t="e">
        <f t="shared" si="6"/>
        <v>#REF!</v>
      </c>
      <c r="AJ54" s="465" t="e">
        <f t="shared" si="6"/>
        <v>#REF!</v>
      </c>
      <c r="AK54" s="465" t="e">
        <f t="shared" si="6"/>
        <v>#REF!</v>
      </c>
      <c r="AL54" s="465" t="e">
        <f t="shared" si="6"/>
        <v>#REF!</v>
      </c>
      <c r="AM54" s="465" t="e">
        <f t="shared" si="6"/>
        <v>#REF!</v>
      </c>
      <c r="AN54" s="465" t="e">
        <f t="shared" si="6"/>
        <v>#REF!</v>
      </c>
      <c r="AO54" s="465" t="e">
        <f t="shared" si="6"/>
        <v>#REF!</v>
      </c>
      <c r="AP54" s="465" t="e">
        <f t="shared" si="6"/>
        <v>#REF!</v>
      </c>
      <c r="AQ54" s="465" t="e">
        <f t="shared" si="6"/>
        <v>#REF!</v>
      </c>
      <c r="AR54" s="465" t="e">
        <f t="shared" si="6"/>
        <v>#REF!</v>
      </c>
    </row>
    <row r="55" spans="1:97" x14ac:dyDescent="0.3">
      <c r="A55" s="31" t="s">
        <v>916</v>
      </c>
      <c r="B55" s="580">
        <f>'8. Country data'!B21+'8. Country data'!B35+'8. Country data'!B41</f>
        <v>100030</v>
      </c>
      <c r="C55" s="580">
        <f>'8. Country data'!C21+'8. Country data'!C35+'8. Country data'!C41</f>
        <v>102298</v>
      </c>
      <c r="D55" s="580">
        <f>'8. Country data'!D21+'8. Country data'!D35+'8. Country data'!D41</f>
        <v>112788</v>
      </c>
      <c r="E55" s="580">
        <f>'8. Country data'!E21+'8. Country data'!E35+'8. Country data'!E41</f>
        <v>113873</v>
      </c>
      <c r="F55" s="580">
        <f>'8. Country data'!F21+'8. Country data'!F35+'8. Country data'!F41</f>
        <v>114698</v>
      </c>
      <c r="G55" s="580">
        <f>'8. Country data'!G21+'8. Country data'!G35+'8. Country data'!G41</f>
        <v>111514</v>
      </c>
      <c r="H55" s="580">
        <f>'8. Country data'!H21+'8. Country data'!H35+'8. Country data'!H41</f>
        <v>112228</v>
      </c>
      <c r="I55" s="580">
        <f>'8. Country data'!I21+'8. Country data'!I35+'8. Country data'!I41</f>
        <v>121839</v>
      </c>
      <c r="J55" s="580">
        <f>'8. Country data'!J21+'8. Country data'!J35+'8. Country data'!J41</f>
        <v>153269</v>
      </c>
      <c r="K55" s="580">
        <f>'8. Country data'!K21+'8. Country data'!K35+'8. Country data'!K41</f>
        <v>128050</v>
      </c>
      <c r="L55" s="580">
        <f>'8. Country data'!L21+'8. Country data'!L35+'8. Country data'!L41</f>
        <v>142217</v>
      </c>
      <c r="M55" s="580">
        <f>'8. Country data'!M21+'8. Country data'!M35+'8. Country data'!M41</f>
        <v>125469</v>
      </c>
      <c r="N55" s="580">
        <f>'8. Country data'!N21+'8. Country data'!N35+'8. Country data'!N41</f>
        <v>144365</v>
      </c>
      <c r="O55" s="580">
        <f>'8. Country data'!O21+'8. Country data'!O35+'8. Country data'!O41</f>
        <v>162760</v>
      </c>
      <c r="P55" s="580">
        <f>'8. Country data'!P21+'8. Country data'!P35+'8. Country data'!P41</f>
        <v>152389</v>
      </c>
      <c r="Q55" s="580">
        <f>'8. Country data'!Q21+'8. Country data'!Q35+'8. Country data'!Q41</f>
        <v>151123</v>
      </c>
      <c r="R55" s="580">
        <f>'8. Country data'!R21+'8. Country data'!R35+'8. Country data'!R41</f>
        <v>146757</v>
      </c>
      <c r="S55" s="580">
        <f>'8. Country data'!S21+'8. Country data'!S35+'8. Country data'!S41</f>
        <v>133555</v>
      </c>
      <c r="T55" s="580">
        <f>'8. Country data'!T21+'8. Country data'!T35+'8. Country data'!T41</f>
        <v>142570</v>
      </c>
      <c r="U55" s="580">
        <f>'8. Country data'!U21+'8. Country data'!U35+'8. Country data'!U41</f>
        <v>163983</v>
      </c>
      <c r="V55" s="580">
        <f>'8. Country data'!V21+'8. Country data'!V35+'8. Country data'!V41</f>
        <v>172061</v>
      </c>
      <c r="W55" s="92"/>
      <c r="X55" s="376"/>
    </row>
    <row r="56" spans="1:97" x14ac:dyDescent="0.3">
      <c r="A56" s="31" t="s">
        <v>917</v>
      </c>
      <c r="B56" s="580">
        <f>'8. Country data'!B21+'8. Country data'!B35+'8. Country data'!B41+'8. Country data'!B46</f>
        <v>100111</v>
      </c>
      <c r="C56" s="580">
        <f>'8. Country data'!C21+'8. Country data'!C35+'8. Country data'!C41+'8. Country data'!C46</f>
        <v>102352</v>
      </c>
      <c r="D56" s="580">
        <f>'8. Country data'!D21+'8. Country data'!D35+'8. Country data'!D41+'8. Country data'!D46</f>
        <v>112834</v>
      </c>
      <c r="E56" s="580">
        <f>'8. Country data'!E21+'8. Country data'!E35+'8. Country data'!E41+'8. Country data'!E46</f>
        <v>113941</v>
      </c>
      <c r="F56" s="580">
        <f>'8. Country data'!F21+'8. Country data'!F35+'8. Country data'!F41+'8. Country data'!F46</f>
        <v>114766</v>
      </c>
      <c r="G56" s="580">
        <f>'8. Country data'!G21+'8. Country data'!G35+'8. Country data'!G41+'8. Country data'!G46</f>
        <v>111623</v>
      </c>
      <c r="H56" s="580">
        <f>'8. Country data'!H21+'8. Country data'!H35+'8. Country data'!H41+'8. Country data'!H46</f>
        <v>112324</v>
      </c>
      <c r="I56" s="580">
        <f>'8. Country data'!I21+'8. Country data'!I35+'8. Country data'!I41+'8. Country data'!I46</f>
        <v>121920</v>
      </c>
      <c r="J56" s="580">
        <f>'8. Country data'!J21+'8. Country data'!J35+'8. Country data'!J41+'8. Country data'!J46</f>
        <v>153387</v>
      </c>
      <c r="K56" s="580">
        <f>'8. Country data'!K21+'8. Country data'!K35+'8. Country data'!K41+'8. Country data'!K46</f>
        <v>128176</v>
      </c>
      <c r="L56" s="580">
        <f>'8. Country data'!L21+'8. Country data'!L35+'8. Country data'!L41+'8. Country data'!L46</f>
        <v>142404</v>
      </c>
      <c r="M56" s="580">
        <f>'8. Country data'!M21+'8. Country data'!M35+'8. Country data'!M41+'8. Country data'!M46</f>
        <v>125664</v>
      </c>
      <c r="N56" s="580">
        <f>'8. Country data'!N21+'8. Country data'!N35+'8. Country data'!N41+'8. Country data'!N46</f>
        <v>144508</v>
      </c>
      <c r="O56" s="580">
        <f>'8. Country data'!O21+'8. Country data'!O35+'8. Country data'!O41+'8. Country data'!O46</f>
        <v>162883</v>
      </c>
      <c r="P56" s="580">
        <f>'8. Country data'!P21+'8. Country data'!P35+'8. Country data'!P41+'8. Country data'!P46</f>
        <v>152501</v>
      </c>
      <c r="Q56" s="580">
        <f>'8. Country data'!Q21+'8. Country data'!Q35+'8. Country data'!Q41+'8. Country data'!Q46</f>
        <v>151223</v>
      </c>
      <c r="R56" s="580">
        <f>'8. Country data'!R21+'8. Country data'!R35+'8. Country data'!R41+'8. Country data'!R46</f>
        <v>146872</v>
      </c>
      <c r="S56" s="580">
        <f>'8. Country data'!S21+'8. Country data'!S35+'8. Country data'!S41+'8. Country data'!S46</f>
        <v>133664</v>
      </c>
      <c r="T56" s="580">
        <f>'8. Country data'!T21+'8. Country data'!T35+'8. Country data'!T41+'8. Country data'!T46</f>
        <v>142705</v>
      </c>
      <c r="U56" s="580">
        <f>'8. Country data'!U21+'8. Country data'!U35+'8. Country data'!U41+'8. Country data'!U46</f>
        <v>164081</v>
      </c>
      <c r="V56" s="580">
        <f>'8. Country data'!V21+'8. Country data'!V35+'8. Country data'!V41+'8. Country data'!V46</f>
        <v>172211</v>
      </c>
      <c r="W56" s="92"/>
      <c r="X56" s="376"/>
    </row>
    <row r="57" spans="1:97" s="2" customFormat="1" ht="13.2" customHeight="1" x14ac:dyDescent="0.3">
      <c r="A57" s="4"/>
      <c r="B57" s="100"/>
      <c r="C57" s="100"/>
      <c r="D57" s="100"/>
      <c r="E57" s="100"/>
      <c r="F57" s="100"/>
      <c r="G57" s="100"/>
      <c r="H57" s="100"/>
      <c r="I57" s="100"/>
      <c r="J57" s="100"/>
      <c r="K57" s="100"/>
      <c r="L57" s="100"/>
      <c r="M57" s="100"/>
      <c r="N57" s="100"/>
      <c r="O57" s="100"/>
      <c r="P57" s="100"/>
      <c r="Q57" s="100"/>
      <c r="R57" s="100"/>
      <c r="S57" s="100"/>
      <c r="T57" s="100"/>
      <c r="U57" s="597"/>
      <c r="V57" s="597"/>
      <c r="W57" s="4"/>
      <c r="X57" s="4"/>
      <c r="Y57" s="4"/>
      <c r="Z57" s="4"/>
      <c r="AA57" s="4"/>
      <c r="AB57" s="745" t="e">
        <f>#REF!</f>
        <v>#REF!</v>
      </c>
      <c r="AC57" s="745" t="e">
        <f>#REF!</f>
        <v>#REF!</v>
      </c>
      <c r="AD57" s="745" t="e">
        <f>#REF!</f>
        <v>#REF!</v>
      </c>
      <c r="AE57" s="745" t="e">
        <f>AB57</f>
        <v>#REF!</v>
      </c>
      <c r="AF57" s="745" t="e">
        <f>AE57</f>
        <v>#REF!</v>
      </c>
      <c r="AG57" s="745" t="e">
        <f>AF57</f>
        <v>#REF!</v>
      </c>
      <c r="AH57" s="745" t="e">
        <f>AE57</f>
        <v>#REF!</v>
      </c>
      <c r="AI57" s="745" t="e">
        <f>AH57</f>
        <v>#REF!</v>
      </c>
      <c r="AJ57" s="745" t="e">
        <f>AI57</f>
        <v>#REF!</v>
      </c>
      <c r="AK57" s="745" t="e">
        <f>AH57</f>
        <v>#REF!</v>
      </c>
      <c r="AL57" s="745" t="e">
        <f>AK57</f>
        <v>#REF!</v>
      </c>
      <c r="AM57" s="745" t="e">
        <f>AL57</f>
        <v>#REF!</v>
      </c>
      <c r="AN57" s="745" t="e">
        <f>AK57</f>
        <v>#REF!</v>
      </c>
      <c r="AO57" s="745" t="e">
        <f>AL57</f>
        <v>#REF!</v>
      </c>
      <c r="AP57" s="745" t="e">
        <f>AO57</f>
        <v>#REF!</v>
      </c>
      <c r="AQ57" s="745" t="e">
        <f>AP57</f>
        <v>#REF!</v>
      </c>
      <c r="AR57" s="745" t="e">
        <f>AO57</f>
        <v>#REF!</v>
      </c>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row>
    <row r="58" spans="1:97" s="4" customFormat="1" ht="12" customHeight="1" x14ac:dyDescent="0.3">
      <c r="B58" s="21"/>
      <c r="C58" s="21"/>
      <c r="D58" s="21"/>
      <c r="E58" s="21"/>
      <c r="F58" s="21"/>
      <c r="G58" s="21"/>
      <c r="H58" s="21"/>
      <c r="I58" s="21"/>
      <c r="J58" s="21"/>
      <c r="K58" s="21"/>
      <c r="L58" s="21"/>
      <c r="M58" s="21"/>
      <c r="N58" s="21"/>
      <c r="O58" s="21"/>
      <c r="P58" s="21"/>
      <c r="Q58" s="21"/>
      <c r="R58" s="21"/>
      <c r="S58" s="21"/>
      <c r="T58" s="21"/>
      <c r="AB58" s="746" t="e">
        <f>#REF!</f>
        <v>#REF!</v>
      </c>
      <c r="AC58" s="746" t="e">
        <f>AB58</f>
        <v>#REF!</v>
      </c>
      <c r="AD58" s="746" t="e">
        <f>AC58</f>
        <v>#REF!</v>
      </c>
      <c r="AE58" s="746" t="e">
        <f>AD58</f>
        <v>#REF!</v>
      </c>
      <c r="AF58" s="746" t="e">
        <f>AE58</f>
        <v>#REF!</v>
      </c>
      <c r="AG58" s="746" t="e">
        <f>AF58</f>
        <v>#REF!</v>
      </c>
      <c r="AH58" s="746" t="e">
        <f>AG58</f>
        <v>#REF!</v>
      </c>
      <c r="AI58" s="746" t="e">
        <f>AH58</f>
        <v>#REF!</v>
      </c>
      <c r="AJ58" s="746" t="e">
        <f>AI58</f>
        <v>#REF!</v>
      </c>
      <c r="AK58" s="746" t="e">
        <f>AJ58</f>
        <v>#REF!</v>
      </c>
      <c r="AL58" s="746" t="e">
        <f>AK58</f>
        <v>#REF!</v>
      </c>
      <c r="AM58" s="746" t="e">
        <f>AL58</f>
        <v>#REF!</v>
      </c>
      <c r="AN58" s="746" t="e">
        <f>AM58</f>
        <v>#REF!</v>
      </c>
      <c r="AO58" s="746" t="e">
        <f>AN58</f>
        <v>#REF!</v>
      </c>
      <c r="AP58" s="746" t="e">
        <f>AO58</f>
        <v>#REF!</v>
      </c>
      <c r="AQ58" s="746" t="e">
        <f>AP58</f>
        <v>#REF!</v>
      </c>
      <c r="AR58" s="746" t="e">
        <f>AQ58</f>
        <v>#REF!</v>
      </c>
    </row>
    <row r="59" spans="1:97" s="4" customFormat="1" ht="12" customHeight="1" x14ac:dyDescent="0.3">
      <c r="B59" s="21"/>
      <c r="C59" s="21"/>
      <c r="D59" s="21"/>
      <c r="E59" s="21"/>
      <c r="F59" s="21"/>
      <c r="G59" s="21"/>
      <c r="H59" s="21"/>
      <c r="I59" s="21"/>
      <c r="J59" s="21"/>
      <c r="K59" s="21"/>
      <c r="L59" s="21"/>
      <c r="M59" s="21"/>
      <c r="N59" s="21"/>
      <c r="O59" s="21"/>
      <c r="P59" s="21"/>
      <c r="Q59" s="21"/>
      <c r="R59" s="21"/>
      <c r="S59" s="21"/>
      <c r="T59" s="21"/>
      <c r="AB59" s="746"/>
    </row>
    <row r="60" spans="1:97" s="108" customFormat="1" x14ac:dyDescent="0.3">
      <c r="A60" s="104" t="s">
        <v>183</v>
      </c>
      <c r="B60" s="105" t="s">
        <v>0</v>
      </c>
      <c r="C60" s="105" t="s">
        <v>1</v>
      </c>
      <c r="D60" s="105" t="s">
        <v>2</v>
      </c>
      <c r="E60" s="105" t="s">
        <v>3</v>
      </c>
      <c r="F60" s="105" t="s">
        <v>4</v>
      </c>
      <c r="G60" s="105" t="s">
        <v>5</v>
      </c>
      <c r="H60" s="105" t="s">
        <v>6</v>
      </c>
      <c r="I60" s="105" t="s">
        <v>7</v>
      </c>
      <c r="J60" s="105" t="s">
        <v>8</v>
      </c>
      <c r="K60" s="105" t="s">
        <v>9</v>
      </c>
      <c r="L60" s="105" t="s">
        <v>10</v>
      </c>
      <c r="M60" s="105" t="s">
        <v>11</v>
      </c>
      <c r="N60" s="105" t="s">
        <v>12</v>
      </c>
      <c r="O60" s="105" t="s">
        <v>13</v>
      </c>
      <c r="P60" s="105" t="s">
        <v>14</v>
      </c>
      <c r="Q60" s="105" t="s">
        <v>15</v>
      </c>
      <c r="R60" s="105" t="s">
        <v>16</v>
      </c>
      <c r="S60" s="105" t="s">
        <v>17</v>
      </c>
      <c r="T60" s="105" t="s">
        <v>18</v>
      </c>
      <c r="U60" s="105">
        <v>2017</v>
      </c>
      <c r="V60" s="107">
        <v>2018</v>
      </c>
      <c r="W60" s="107"/>
      <c r="X60" s="107"/>
      <c r="Y60" s="107"/>
      <c r="Z60" s="107"/>
      <c r="AA60" s="107"/>
      <c r="AB60" s="749">
        <v>2019</v>
      </c>
      <c r="AC60" s="749">
        <v>2020</v>
      </c>
      <c r="AD60" s="749">
        <v>2021</v>
      </c>
      <c r="AE60" s="749">
        <v>2022</v>
      </c>
      <c r="AF60" s="749">
        <v>2023</v>
      </c>
      <c r="AG60" s="749">
        <v>2024</v>
      </c>
      <c r="AH60" s="749">
        <v>2025</v>
      </c>
      <c r="AI60" s="749">
        <v>2026</v>
      </c>
      <c r="AJ60" s="749">
        <v>2027</v>
      </c>
      <c r="AK60" s="749">
        <v>2028</v>
      </c>
      <c r="AL60" s="749">
        <v>2029</v>
      </c>
      <c r="AM60" s="749">
        <v>2030</v>
      </c>
      <c r="AN60" s="749">
        <v>2031</v>
      </c>
      <c r="AO60" s="749">
        <v>2032</v>
      </c>
      <c r="AP60" s="749">
        <v>2033</v>
      </c>
      <c r="AQ60" s="749">
        <v>2034</v>
      </c>
      <c r="AR60" s="749">
        <v>2035</v>
      </c>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row>
    <row r="61" spans="1:97" x14ac:dyDescent="0.3">
      <c r="A61" s="31" t="s">
        <v>918</v>
      </c>
      <c r="B61" s="580">
        <f>'8. Country data'!B35</f>
        <v>3339</v>
      </c>
      <c r="C61" s="580">
        <f>'8. Country data'!C35</f>
        <v>3270</v>
      </c>
      <c r="D61" s="580">
        <f>'8. Country data'!D35</f>
        <v>3963</v>
      </c>
      <c r="E61" s="580">
        <f>'8. Country data'!E35</f>
        <v>4021</v>
      </c>
      <c r="F61" s="580">
        <f>'8. Country data'!F35</f>
        <v>4183</v>
      </c>
      <c r="G61" s="580">
        <f>'8. Country data'!G35</f>
        <v>4582</v>
      </c>
      <c r="H61" s="580">
        <f>'8. Country data'!H35</f>
        <v>4485</v>
      </c>
      <c r="I61" s="580">
        <f>'8. Country data'!I35</f>
        <v>4788</v>
      </c>
      <c r="J61" s="580">
        <f>'8. Country data'!J35</f>
        <v>8260</v>
      </c>
      <c r="K61" s="580">
        <f>'8. Country data'!K35</f>
        <v>6534</v>
      </c>
      <c r="L61" s="580">
        <f>'8. Country data'!L35</f>
        <v>7675</v>
      </c>
      <c r="M61" s="580">
        <f>'8. Country data'!M35</f>
        <v>6845</v>
      </c>
      <c r="N61" s="580">
        <f>'8. Country data'!N35</f>
        <v>8821</v>
      </c>
      <c r="O61" s="580">
        <f>'8. Country data'!O35</f>
        <v>10249</v>
      </c>
      <c r="P61" s="580">
        <f>'8. Country data'!P35</f>
        <v>8779</v>
      </c>
      <c r="Q61" s="580">
        <f>'8. Country data'!Q35</f>
        <v>9321</v>
      </c>
      <c r="R61" s="580">
        <f>'8. Country data'!R35</f>
        <v>9431</v>
      </c>
      <c r="S61" s="580">
        <f>'8. Country data'!S35</f>
        <v>8680</v>
      </c>
      <c r="T61" s="580">
        <f>'8. Country data'!T35</f>
        <v>9679</v>
      </c>
      <c r="U61" s="580">
        <f>'8. Country data'!U35</f>
        <v>10479</v>
      </c>
      <c r="V61" s="580">
        <f>'8. Country data'!V35</f>
        <v>11080</v>
      </c>
      <c r="W61" s="92">
        <f>V61-H61</f>
        <v>6595</v>
      </c>
      <c r="X61" s="377"/>
      <c r="AB61" s="748" t="e">
        <f>(V61*AB63)+V61</f>
        <v>#REF!</v>
      </c>
      <c r="AC61" s="106" t="e">
        <f t="shared" ref="AC61:AR61" si="7">(AB61*AB63)+AB61</f>
        <v>#REF!</v>
      </c>
      <c r="AD61" s="106" t="e">
        <f t="shared" si="7"/>
        <v>#REF!</v>
      </c>
      <c r="AE61" s="106" t="e">
        <f t="shared" si="7"/>
        <v>#REF!</v>
      </c>
      <c r="AF61" s="106" t="e">
        <f t="shared" si="7"/>
        <v>#REF!</v>
      </c>
      <c r="AG61" s="106" t="e">
        <f t="shared" si="7"/>
        <v>#REF!</v>
      </c>
      <c r="AH61" s="106" t="e">
        <f t="shared" si="7"/>
        <v>#REF!</v>
      </c>
      <c r="AI61" s="106" t="e">
        <f t="shared" si="7"/>
        <v>#REF!</v>
      </c>
      <c r="AJ61" s="106" t="e">
        <f t="shared" si="7"/>
        <v>#REF!</v>
      </c>
      <c r="AK61" s="106" t="e">
        <f t="shared" si="7"/>
        <v>#REF!</v>
      </c>
      <c r="AL61" s="106" t="e">
        <f t="shared" si="7"/>
        <v>#REF!</v>
      </c>
      <c r="AM61" s="106" t="e">
        <f t="shared" si="7"/>
        <v>#REF!</v>
      </c>
      <c r="AN61" s="106" t="e">
        <f t="shared" si="7"/>
        <v>#REF!</v>
      </c>
      <c r="AO61" s="106" t="e">
        <f t="shared" si="7"/>
        <v>#REF!</v>
      </c>
      <c r="AP61" s="106" t="e">
        <f t="shared" si="7"/>
        <v>#REF!</v>
      </c>
      <c r="AQ61" s="106" t="e">
        <f t="shared" si="7"/>
        <v>#REF!</v>
      </c>
      <c r="AR61" s="106" t="e">
        <f t="shared" si="7"/>
        <v>#REF!</v>
      </c>
    </row>
    <row r="62" spans="1:97" x14ac:dyDescent="0.3">
      <c r="A62" s="31" t="s">
        <v>919</v>
      </c>
      <c r="B62" s="580">
        <f>'8. Country data'!B41</f>
        <v>273</v>
      </c>
      <c r="C62" s="580">
        <f>'8. Country data'!C41</f>
        <v>278</v>
      </c>
      <c r="D62" s="580">
        <f>'8. Country data'!D41</f>
        <v>441</v>
      </c>
      <c r="E62" s="580">
        <f>'8. Country data'!E41</f>
        <v>411</v>
      </c>
      <c r="F62" s="580">
        <f>'8. Country data'!F41</f>
        <v>529</v>
      </c>
      <c r="G62" s="580">
        <f>'8. Country data'!G41</f>
        <v>632</v>
      </c>
      <c r="H62" s="580">
        <f>'8. Country data'!H41</f>
        <v>666</v>
      </c>
      <c r="I62" s="580">
        <f>'8. Country data'!I41</f>
        <v>766</v>
      </c>
      <c r="J62" s="580">
        <f>'8. Country data'!J41</f>
        <v>786</v>
      </c>
      <c r="K62" s="580">
        <f>'8. Country data'!K41</f>
        <v>837</v>
      </c>
      <c r="L62" s="580">
        <f>'8. Country data'!L41</f>
        <v>964</v>
      </c>
      <c r="M62" s="580">
        <f>'8. Country data'!M41</f>
        <v>826</v>
      </c>
      <c r="N62" s="580">
        <f>'8. Country data'!N41</f>
        <v>1006</v>
      </c>
      <c r="O62" s="580">
        <f>'8. Country data'!O41</f>
        <v>1270</v>
      </c>
      <c r="P62" s="580">
        <f>'8. Country data'!P41</f>
        <v>1224</v>
      </c>
      <c r="Q62" s="580">
        <f>'8. Country data'!Q41</f>
        <v>1309</v>
      </c>
      <c r="R62" s="580">
        <f>'8. Country data'!R41</f>
        <v>1366</v>
      </c>
      <c r="S62" s="580">
        <f>'8. Country data'!S41</f>
        <v>1284</v>
      </c>
      <c r="T62" s="580">
        <f>'8. Country data'!T41</f>
        <v>1487</v>
      </c>
      <c r="U62" s="580">
        <f>'8. Country data'!U41</f>
        <v>1471</v>
      </c>
      <c r="V62" s="580">
        <f>'8. Country data'!V41</f>
        <v>1523</v>
      </c>
      <c r="W62" s="92"/>
      <c r="AB62" s="748" t="e">
        <f>(V62*#REF!)+V62</f>
        <v>#REF!</v>
      </c>
      <c r="AC62" s="106" t="e">
        <f>(AB62*#REF!)+AB62</f>
        <v>#REF!</v>
      </c>
      <c r="AD62" s="106" t="e">
        <f>(AC62*#REF!)+AC62</f>
        <v>#REF!</v>
      </c>
      <c r="AE62" s="106" t="e">
        <f>(AD62*#REF!)+AD62</f>
        <v>#REF!</v>
      </c>
      <c r="AF62" s="106" t="e">
        <f>(AE62*#REF!)+AE62</f>
        <v>#REF!</v>
      </c>
      <c r="AG62" s="106" t="e">
        <f>(AF62*#REF!)+AF62</f>
        <v>#REF!</v>
      </c>
      <c r="AH62" s="106" t="e">
        <f>(AG62*#REF!)+AG62</f>
        <v>#REF!</v>
      </c>
      <c r="AI62" s="106" t="e">
        <f>(AH62*#REF!)+AH62</f>
        <v>#REF!</v>
      </c>
      <c r="AJ62" s="106" t="e">
        <f>(AI62*#REF!)+AI62</f>
        <v>#REF!</v>
      </c>
      <c r="AK62" s="106" t="e">
        <f>(AJ62*#REF!)+AJ62</f>
        <v>#REF!</v>
      </c>
      <c r="AL62" s="106" t="e">
        <f>(AK62*#REF!)+AK62</f>
        <v>#REF!</v>
      </c>
      <c r="AM62" s="106" t="e">
        <f>(AL62*#REF!)+AL62</f>
        <v>#REF!</v>
      </c>
      <c r="AN62" s="106" t="e">
        <f>(AM62*#REF!)+AM62</f>
        <v>#REF!</v>
      </c>
      <c r="AO62" s="106" t="e">
        <f>(AN62*#REF!)+AN62</f>
        <v>#REF!</v>
      </c>
      <c r="AP62" s="106" t="e">
        <f>(AO62*#REF!)+AO62</f>
        <v>#REF!</v>
      </c>
      <c r="AQ62" s="106" t="e">
        <f>(AP62*#REF!)+AP62</f>
        <v>#REF!</v>
      </c>
      <c r="AR62" s="106" t="e">
        <f>(AQ62*#REF!)+AQ62</f>
        <v>#REF!</v>
      </c>
    </row>
    <row r="63" spans="1:97" x14ac:dyDescent="0.3">
      <c r="U63" s="598"/>
      <c r="AB63" s="10" t="e">
        <f>#REF!</f>
        <v>#REF!</v>
      </c>
      <c r="AC63" s="10" t="e">
        <f t="shared" ref="AC63:AR63" si="8">AB63</f>
        <v>#REF!</v>
      </c>
      <c r="AD63" s="10" t="e">
        <f t="shared" si="8"/>
        <v>#REF!</v>
      </c>
      <c r="AE63" s="10" t="e">
        <f t="shared" si="8"/>
        <v>#REF!</v>
      </c>
      <c r="AF63" s="10" t="e">
        <f t="shared" si="8"/>
        <v>#REF!</v>
      </c>
      <c r="AG63" s="10" t="e">
        <f t="shared" si="8"/>
        <v>#REF!</v>
      </c>
      <c r="AH63" s="10" t="e">
        <f t="shared" si="8"/>
        <v>#REF!</v>
      </c>
      <c r="AI63" s="10" t="e">
        <f t="shared" si="8"/>
        <v>#REF!</v>
      </c>
      <c r="AJ63" s="10" t="e">
        <f t="shared" si="8"/>
        <v>#REF!</v>
      </c>
      <c r="AK63" s="10" t="e">
        <f t="shared" si="8"/>
        <v>#REF!</v>
      </c>
      <c r="AL63" s="10" t="e">
        <f t="shared" si="8"/>
        <v>#REF!</v>
      </c>
      <c r="AM63" s="10" t="e">
        <f t="shared" si="8"/>
        <v>#REF!</v>
      </c>
      <c r="AN63" s="10" t="e">
        <f t="shared" si="8"/>
        <v>#REF!</v>
      </c>
      <c r="AO63" s="10" t="e">
        <f t="shared" si="8"/>
        <v>#REF!</v>
      </c>
      <c r="AP63" s="10" t="e">
        <f t="shared" si="8"/>
        <v>#REF!</v>
      </c>
      <c r="AQ63" s="10" t="e">
        <f t="shared" si="8"/>
        <v>#REF!</v>
      </c>
      <c r="AR63" s="10" t="e">
        <f t="shared" si="8"/>
        <v>#REF!</v>
      </c>
    </row>
    <row r="64" spans="1:97" ht="24.6" customHeight="1" x14ac:dyDescent="0.35">
      <c r="A64" s="201" t="s">
        <v>640</v>
      </c>
    </row>
    <row r="65" spans="1:44" ht="18" x14ac:dyDescent="0.35">
      <c r="A65" s="201" t="s">
        <v>686</v>
      </c>
    </row>
    <row r="66" spans="1:44" ht="28.95" customHeight="1" thickBot="1" x14ac:dyDescent="0.35">
      <c r="A66" s="976" t="s">
        <v>687</v>
      </c>
      <c r="B66" s="976"/>
      <c r="C66" s="976"/>
      <c r="D66" s="976"/>
      <c r="E66" s="976"/>
      <c r="F66" s="976"/>
      <c r="G66" s="976"/>
      <c r="H66" s="751"/>
      <c r="I66" s="751"/>
      <c r="J66" s="751"/>
    </row>
    <row r="67" spans="1:44" s="106" customFormat="1" x14ac:dyDescent="0.3">
      <c r="A67" s="378" t="s">
        <v>48</v>
      </c>
      <c r="B67" s="622" t="s">
        <v>0</v>
      </c>
      <c r="C67" s="379" t="s">
        <v>1</v>
      </c>
      <c r="D67" s="379" t="s">
        <v>2</v>
      </c>
      <c r="E67" s="379">
        <v>2001</v>
      </c>
      <c r="F67" s="379" t="s">
        <v>4</v>
      </c>
      <c r="G67" s="379" t="s">
        <v>5</v>
      </c>
      <c r="H67" s="379" t="s">
        <v>6</v>
      </c>
      <c r="I67" s="379" t="s">
        <v>7</v>
      </c>
      <c r="J67" s="379" t="s">
        <v>8</v>
      </c>
      <c r="K67" s="379" t="s">
        <v>9</v>
      </c>
      <c r="L67" s="379" t="s">
        <v>10</v>
      </c>
      <c r="M67" s="379" t="s">
        <v>11</v>
      </c>
      <c r="N67" s="379" t="s">
        <v>12</v>
      </c>
      <c r="O67" s="379" t="s">
        <v>13</v>
      </c>
      <c r="P67" s="379" t="s">
        <v>14</v>
      </c>
      <c r="Q67" s="379" t="s">
        <v>15</v>
      </c>
      <c r="R67" s="379" t="s">
        <v>16</v>
      </c>
      <c r="S67" s="379" t="s">
        <v>17</v>
      </c>
      <c r="T67" s="379" t="s">
        <v>18</v>
      </c>
      <c r="U67" s="379">
        <v>2017</v>
      </c>
      <c r="V67" s="382">
        <v>2018</v>
      </c>
      <c r="AB67" s="465"/>
      <c r="AC67" s="465"/>
      <c r="AD67" s="465"/>
      <c r="AE67" s="465"/>
      <c r="AF67" s="465"/>
      <c r="AG67" s="465"/>
      <c r="AH67" s="465"/>
      <c r="AI67" s="465"/>
      <c r="AJ67" s="465"/>
      <c r="AK67" s="465"/>
      <c r="AL67" s="465"/>
      <c r="AM67" s="465"/>
      <c r="AN67" s="465"/>
      <c r="AO67" s="465"/>
      <c r="AP67" s="465"/>
      <c r="AQ67" s="465"/>
      <c r="AR67" s="465"/>
    </row>
    <row r="68" spans="1:44" x14ac:dyDescent="0.3">
      <c r="A68" s="380" t="s">
        <v>481</v>
      </c>
      <c r="B68" s="137">
        <v>80.099999999999994</v>
      </c>
      <c r="C68" s="623">
        <v>79.599999999999994</v>
      </c>
      <c r="D68" s="623">
        <v>81.7</v>
      </c>
      <c r="E68" s="623">
        <v>81.599999999999994</v>
      </c>
      <c r="F68" s="623">
        <v>79.3</v>
      </c>
      <c r="G68" s="623">
        <v>79.400000000000006</v>
      </c>
      <c r="H68" s="623">
        <v>78.3</v>
      </c>
      <c r="I68" s="623">
        <v>81</v>
      </c>
      <c r="J68" s="623">
        <v>83.1</v>
      </c>
      <c r="K68" s="623">
        <v>83.6</v>
      </c>
      <c r="L68" s="623">
        <v>93.9</v>
      </c>
      <c r="M68" s="623">
        <v>95.8</v>
      </c>
      <c r="N68" s="623">
        <v>99.2</v>
      </c>
      <c r="O68" s="623">
        <v>106.1</v>
      </c>
      <c r="P68" s="623">
        <v>105.3</v>
      </c>
      <c r="Q68" s="623">
        <v>106.3</v>
      </c>
      <c r="R68" s="623">
        <v>101.9</v>
      </c>
      <c r="S68" s="623">
        <v>96</v>
      </c>
      <c r="T68" s="623">
        <v>100</v>
      </c>
      <c r="U68" s="119">
        <v>105.4</v>
      </c>
      <c r="V68" s="142">
        <v>108.6</v>
      </c>
    </row>
    <row r="69" spans="1:44" x14ac:dyDescent="0.3">
      <c r="A69" s="624" t="s">
        <v>483</v>
      </c>
      <c r="B69" s="197">
        <f>B68/100</f>
        <v>0.80099999999999993</v>
      </c>
      <c r="C69" s="190">
        <f>C68/100</f>
        <v>0.79599999999999993</v>
      </c>
      <c r="D69" s="190">
        <f>D68/100</f>
        <v>0.81700000000000006</v>
      </c>
      <c r="E69" s="190">
        <f>E68/100</f>
        <v>0.81599999999999995</v>
      </c>
      <c r="F69" s="190">
        <f t="shared" ref="F69:V69" si="9">F68/100</f>
        <v>0.79299999999999993</v>
      </c>
      <c r="G69" s="190">
        <f t="shared" si="9"/>
        <v>0.79400000000000004</v>
      </c>
      <c r="H69" s="190">
        <f t="shared" si="9"/>
        <v>0.78299999999999992</v>
      </c>
      <c r="I69" s="190">
        <f t="shared" si="9"/>
        <v>0.81</v>
      </c>
      <c r="J69" s="190">
        <f t="shared" si="9"/>
        <v>0.83099999999999996</v>
      </c>
      <c r="K69" s="190">
        <f t="shared" si="9"/>
        <v>0.83599999999999997</v>
      </c>
      <c r="L69" s="190">
        <f t="shared" si="9"/>
        <v>0.93900000000000006</v>
      </c>
      <c r="M69" s="190">
        <f t="shared" si="9"/>
        <v>0.95799999999999996</v>
      </c>
      <c r="N69" s="190">
        <f t="shared" si="9"/>
        <v>0.99199999999999999</v>
      </c>
      <c r="O69" s="190">
        <f t="shared" si="9"/>
        <v>1.0609999999999999</v>
      </c>
      <c r="P69" s="190">
        <f t="shared" si="9"/>
        <v>1.0529999999999999</v>
      </c>
      <c r="Q69" s="190">
        <f t="shared" si="9"/>
        <v>1.0629999999999999</v>
      </c>
      <c r="R69" s="190">
        <f t="shared" si="9"/>
        <v>1.0190000000000001</v>
      </c>
      <c r="S69" s="190">
        <f t="shared" si="9"/>
        <v>0.96</v>
      </c>
      <c r="T69" s="190">
        <f t="shared" si="9"/>
        <v>1</v>
      </c>
      <c r="U69" s="190">
        <f>U68/100</f>
        <v>1.054</v>
      </c>
      <c r="V69" s="191">
        <f t="shared" si="9"/>
        <v>1.0859999999999999</v>
      </c>
    </row>
    <row r="70" spans="1:44" x14ac:dyDescent="0.3">
      <c r="A70" s="454" t="s">
        <v>482</v>
      </c>
      <c r="B70" s="137">
        <v>73.900000000000006</v>
      </c>
      <c r="C70" s="623">
        <v>74.2</v>
      </c>
      <c r="D70" s="623">
        <v>76</v>
      </c>
      <c r="E70" s="623">
        <v>76.5</v>
      </c>
      <c r="F70" s="623">
        <v>75.400000000000006</v>
      </c>
      <c r="G70" s="623">
        <v>76.599999999999994</v>
      </c>
      <c r="H70" s="623">
        <v>76</v>
      </c>
      <c r="I70" s="623">
        <v>78.599999999999994</v>
      </c>
      <c r="J70" s="623">
        <v>80.099999999999994</v>
      </c>
      <c r="K70" s="623">
        <v>79.2</v>
      </c>
      <c r="L70" s="623">
        <v>86.9</v>
      </c>
      <c r="M70" s="623">
        <v>90.2</v>
      </c>
      <c r="N70" s="623">
        <v>94.9</v>
      </c>
      <c r="O70" s="623">
        <v>99.8</v>
      </c>
      <c r="P70" s="623">
        <v>99.3</v>
      </c>
      <c r="Q70" s="623">
        <v>101.5</v>
      </c>
      <c r="R70" s="623">
        <v>98.6</v>
      </c>
      <c r="S70" s="623">
        <v>94.3</v>
      </c>
      <c r="T70" s="623">
        <v>100</v>
      </c>
      <c r="U70" s="119">
        <v>105</v>
      </c>
      <c r="V70" s="142">
        <v>107.7</v>
      </c>
      <c r="AB70" s="106"/>
      <c r="AC70" s="106"/>
      <c r="AD70" s="106"/>
      <c r="AE70" s="106"/>
      <c r="AF70" s="106"/>
      <c r="AG70" s="106"/>
      <c r="AH70" s="106"/>
      <c r="AI70" s="106"/>
      <c r="AJ70" s="106"/>
      <c r="AK70" s="106"/>
      <c r="AL70" s="106"/>
      <c r="AM70" s="106"/>
      <c r="AN70" s="106"/>
      <c r="AO70" s="106"/>
      <c r="AP70" s="106"/>
      <c r="AQ70" s="106"/>
      <c r="AR70" s="106"/>
    </row>
    <row r="71" spans="1:44" ht="15" thickBot="1" x14ac:dyDescent="0.35">
      <c r="A71" s="456" t="s">
        <v>484</v>
      </c>
      <c r="B71" s="625">
        <f>B70/100</f>
        <v>0.7390000000000001</v>
      </c>
      <c r="C71" s="626">
        <f>C70/100</f>
        <v>0.74199999999999999</v>
      </c>
      <c r="D71" s="626">
        <f>D70/100</f>
        <v>0.76</v>
      </c>
      <c r="E71" s="626">
        <f>E70/100</f>
        <v>0.76500000000000001</v>
      </c>
      <c r="F71" s="626">
        <f t="shared" ref="F71:V71" si="10">F70/100</f>
        <v>0.754</v>
      </c>
      <c r="G71" s="626">
        <f t="shared" si="10"/>
        <v>0.7659999999999999</v>
      </c>
      <c r="H71" s="626">
        <f t="shared" si="10"/>
        <v>0.76</v>
      </c>
      <c r="I71" s="626">
        <f t="shared" si="10"/>
        <v>0.78599999999999992</v>
      </c>
      <c r="J71" s="626">
        <f t="shared" si="10"/>
        <v>0.80099999999999993</v>
      </c>
      <c r="K71" s="626">
        <f t="shared" si="10"/>
        <v>0.79200000000000004</v>
      </c>
      <c r="L71" s="626">
        <f t="shared" si="10"/>
        <v>0.86900000000000011</v>
      </c>
      <c r="M71" s="626">
        <f t="shared" si="10"/>
        <v>0.90200000000000002</v>
      </c>
      <c r="N71" s="626">
        <f t="shared" si="10"/>
        <v>0.94900000000000007</v>
      </c>
      <c r="O71" s="626">
        <f t="shared" si="10"/>
        <v>0.998</v>
      </c>
      <c r="P71" s="626">
        <f t="shared" si="10"/>
        <v>0.99299999999999999</v>
      </c>
      <c r="Q71" s="626">
        <f t="shared" si="10"/>
        <v>1.0149999999999999</v>
      </c>
      <c r="R71" s="626">
        <f t="shared" si="10"/>
        <v>0.98599999999999999</v>
      </c>
      <c r="S71" s="626">
        <f t="shared" si="10"/>
        <v>0.94299999999999995</v>
      </c>
      <c r="T71" s="626">
        <f t="shared" si="10"/>
        <v>1</v>
      </c>
      <c r="U71" s="626">
        <f>U70/100</f>
        <v>1.05</v>
      </c>
      <c r="V71" s="627">
        <f t="shared" si="10"/>
        <v>1.077</v>
      </c>
    </row>
    <row r="73" spans="1:44" x14ac:dyDescent="0.3">
      <c r="A73" s="92" t="s">
        <v>482</v>
      </c>
    </row>
    <row r="74" spans="1:44" x14ac:dyDescent="0.3">
      <c r="A74" s="92" t="s">
        <v>481</v>
      </c>
    </row>
    <row r="75" spans="1:44" ht="46.8" customHeight="1" x14ac:dyDescent="0.3">
      <c r="A75" s="971"/>
      <c r="B75" s="971"/>
      <c r="C75" s="971"/>
      <c r="D75" s="971"/>
      <c r="E75" s="971"/>
      <c r="F75" s="971"/>
      <c r="G75" s="971"/>
      <c r="H75" s="971"/>
      <c r="I75" s="971"/>
      <c r="J75" s="971"/>
      <c r="K75" s="971"/>
      <c r="L75" s="971"/>
      <c r="M75" s="971"/>
    </row>
    <row r="76" spans="1:44" x14ac:dyDescent="0.3">
      <c r="A76" s="92"/>
    </row>
    <row r="77" spans="1:44" ht="18" x14ac:dyDescent="0.35">
      <c r="A77" s="201"/>
    </row>
    <row r="78" spans="1:44" x14ac:dyDescent="0.3">
      <c r="A78" s="2"/>
    </row>
    <row r="79" spans="1:44" x14ac:dyDescent="0.3">
      <c r="A79" s="325"/>
    </row>
    <row r="80" spans="1:44" s="106" customFormat="1" x14ac:dyDescent="0.3">
      <c r="A80" s="104"/>
      <c r="B80" s="105"/>
      <c r="C80" s="105"/>
      <c r="D80" s="105"/>
      <c r="E80" s="105"/>
      <c r="F80" s="105"/>
      <c r="G80" s="105"/>
      <c r="H80" s="105"/>
      <c r="I80" s="105"/>
      <c r="J80" s="105"/>
      <c r="K80" s="105"/>
      <c r="L80" s="105"/>
      <c r="M80" s="105"/>
      <c r="N80" s="105"/>
      <c r="O80" s="105"/>
      <c r="P80" s="105"/>
      <c r="Q80" s="105"/>
      <c r="R80" s="105"/>
      <c r="S80" s="105"/>
      <c r="AB80" s="465"/>
      <c r="AC80" s="465"/>
      <c r="AD80" s="465"/>
      <c r="AE80" s="465"/>
      <c r="AF80" s="465"/>
      <c r="AG80" s="465"/>
      <c r="AH80" s="465"/>
      <c r="AI80" s="465"/>
      <c r="AJ80" s="465"/>
      <c r="AK80" s="465"/>
      <c r="AL80" s="465"/>
      <c r="AM80" s="465"/>
      <c r="AN80" s="465"/>
      <c r="AO80" s="465"/>
      <c r="AP80" s="465"/>
      <c r="AQ80" s="465"/>
      <c r="AR80" s="465"/>
    </row>
    <row r="81" spans="1:44" x14ac:dyDescent="0.3">
      <c r="A81" s="31"/>
    </row>
    <row r="82" spans="1:44" x14ac:dyDescent="0.3">
      <c r="B82" s="62"/>
      <c r="C82" s="62"/>
      <c r="D82" s="62"/>
      <c r="E82" s="62"/>
      <c r="F82" s="62"/>
      <c r="G82" s="62"/>
      <c r="H82" s="62"/>
      <c r="I82" s="62"/>
      <c r="J82" s="62"/>
      <c r="K82" s="62"/>
      <c r="L82" s="62"/>
      <c r="M82" s="62"/>
      <c r="N82" s="62"/>
      <c r="O82" s="62"/>
      <c r="P82" s="62"/>
      <c r="Q82" s="62"/>
      <c r="R82" s="62"/>
      <c r="S82" s="62"/>
    </row>
    <row r="83" spans="1:44" ht="13.2" customHeight="1" x14ac:dyDescent="0.3">
      <c r="AB83" s="106"/>
      <c r="AC83" s="106"/>
      <c r="AD83" s="106"/>
      <c r="AE83" s="106"/>
      <c r="AF83" s="106"/>
      <c r="AG83" s="106"/>
      <c r="AH83" s="106"/>
      <c r="AI83" s="106"/>
      <c r="AJ83" s="106"/>
      <c r="AK83" s="106"/>
      <c r="AL83" s="106"/>
      <c r="AM83" s="106"/>
      <c r="AN83" s="106"/>
      <c r="AO83" s="106"/>
      <c r="AP83" s="106"/>
      <c r="AQ83" s="106"/>
      <c r="AR83" s="106"/>
    </row>
    <row r="84" spans="1:44" ht="21" x14ac:dyDescent="0.4">
      <c r="A84" s="563"/>
    </row>
    <row r="85" spans="1:44" ht="18.600000000000001" thickBot="1" x14ac:dyDescent="0.4">
      <c r="A85" s="201"/>
    </row>
    <row r="86" spans="1:44" ht="18" x14ac:dyDescent="0.35">
      <c r="A86" s="352"/>
      <c r="B86" s="357"/>
      <c r="C86" s="358"/>
      <c r="D86" s="581"/>
    </row>
    <row r="87" spans="1:44" x14ac:dyDescent="0.3">
      <c r="A87" s="292"/>
      <c r="B87" s="44"/>
      <c r="C87" s="44"/>
      <c r="D87" s="582"/>
      <c r="E87" s="92"/>
    </row>
    <row r="88" spans="1:44" x14ac:dyDescent="0.3">
      <c r="A88" s="292"/>
      <c r="B88" s="44"/>
      <c r="C88" s="44"/>
      <c r="D88" s="582"/>
      <c r="E88" s="92"/>
    </row>
    <row r="89" spans="1:44" x14ac:dyDescent="0.3">
      <c r="A89" s="292"/>
      <c r="B89" s="44"/>
      <c r="C89" s="44"/>
      <c r="D89" s="582"/>
      <c r="E89" s="325"/>
    </row>
    <row r="90" spans="1:44" x14ac:dyDescent="0.3">
      <c r="A90" s="292"/>
      <c r="B90" s="44"/>
      <c r="C90" s="44"/>
      <c r="D90" s="582"/>
    </row>
    <row r="91" spans="1:44" x14ac:dyDescent="0.3">
      <c r="A91" s="292"/>
      <c r="B91" s="44"/>
      <c r="C91" s="44"/>
      <c r="D91" s="582"/>
      <c r="E91" s="92"/>
    </row>
    <row r="92" spans="1:44" x14ac:dyDescent="0.3">
      <c r="A92" s="292"/>
      <c r="B92" s="44"/>
      <c r="C92" s="44"/>
      <c r="D92" s="582"/>
      <c r="E92" s="92"/>
    </row>
    <row r="93" spans="1:44" ht="15" thickBot="1" x14ac:dyDescent="0.35">
      <c r="A93" s="359"/>
      <c r="B93" s="360"/>
      <c r="C93" s="360"/>
      <c r="D93" s="583"/>
      <c r="E93" s="92"/>
    </row>
    <row r="95" spans="1:44" ht="15" thickBot="1" x14ac:dyDescent="0.35">
      <c r="A95" s="6"/>
    </row>
    <row r="96" spans="1:44" ht="18.600000000000001" thickBot="1" x14ac:dyDescent="0.4">
      <c r="A96" s="355"/>
      <c r="B96" s="356"/>
    </row>
    <row r="97" spans="1:5" x14ac:dyDescent="0.3">
      <c r="A97" s="292"/>
      <c r="B97" s="349"/>
      <c r="E97" s="92"/>
    </row>
    <row r="98" spans="1:5" x14ac:dyDescent="0.3">
      <c r="A98" s="292"/>
      <c r="B98" s="349"/>
      <c r="E98" s="92"/>
    </row>
    <row r="99" spans="1:5" x14ac:dyDescent="0.3">
      <c r="A99" s="292"/>
      <c r="B99" s="349"/>
      <c r="D99" s="92"/>
    </row>
    <row r="100" spans="1:5" x14ac:dyDescent="0.3">
      <c r="A100" s="292"/>
      <c r="B100" s="349"/>
    </row>
    <row r="101" spans="1:5" x14ac:dyDescent="0.3">
      <c r="A101" s="292"/>
      <c r="B101" s="349"/>
    </row>
    <row r="102" spans="1:5" x14ac:dyDescent="0.3">
      <c r="A102" s="292"/>
      <c r="B102" s="349"/>
    </row>
    <row r="103" spans="1:5" ht="15" thickBot="1" x14ac:dyDescent="0.35">
      <c r="A103" s="288"/>
      <c r="B103" s="350"/>
    </row>
    <row r="104" spans="1:5" ht="15" thickBot="1" x14ac:dyDescent="0.35">
      <c r="A104" s="538"/>
      <c r="B104" s="503"/>
    </row>
    <row r="105" spans="1:5" x14ac:dyDescent="0.3">
      <c r="A105" s="44"/>
      <c r="B105" s="44"/>
      <c r="D105" s="92"/>
    </row>
    <row r="106" spans="1:5" ht="15" thickBot="1" x14ac:dyDescent="0.35">
      <c r="A106" s="44"/>
      <c r="B106" s="44"/>
    </row>
    <row r="107" spans="1:5" ht="18" x14ac:dyDescent="0.35">
      <c r="A107" s="361"/>
      <c r="B107" s="362"/>
    </row>
    <row r="108" spans="1:5" x14ac:dyDescent="0.3">
      <c r="A108" s="363"/>
      <c r="B108" s="585"/>
    </row>
    <row r="109" spans="1:5" ht="15" thickBot="1" x14ac:dyDescent="0.35">
      <c r="A109" s="365"/>
      <c r="B109" s="584"/>
      <c r="D109" s="62"/>
    </row>
    <row r="110" spans="1:5" ht="15" thickBot="1" x14ac:dyDescent="0.35"/>
    <row r="111" spans="1:5" ht="18" x14ac:dyDescent="0.35">
      <c r="A111" s="361"/>
      <c r="B111" s="367"/>
      <c r="C111" s="362"/>
      <c r="E111" s="353"/>
    </row>
    <row r="112" spans="1:5" x14ac:dyDescent="0.3">
      <c r="A112" s="363"/>
      <c r="B112" s="354"/>
      <c r="C112" s="364"/>
      <c r="D112" s="62"/>
    </row>
    <row r="113" spans="1:4" ht="15" thickBot="1" x14ac:dyDescent="0.35">
      <c r="A113" s="365"/>
      <c r="B113" s="368"/>
      <c r="C113" s="366"/>
      <c r="D113" s="62"/>
    </row>
    <row r="114" spans="1:4" ht="15" thickBot="1" x14ac:dyDescent="0.35"/>
    <row r="115" spans="1:4" ht="18" x14ac:dyDescent="0.35">
      <c r="A115" s="361"/>
      <c r="B115" s="367"/>
      <c r="C115" s="362"/>
      <c r="D115" s="635"/>
    </row>
    <row r="116" spans="1:4" x14ac:dyDescent="0.3">
      <c r="A116" s="363"/>
      <c r="B116" s="374"/>
      <c r="C116" s="364"/>
    </row>
    <row r="117" spans="1:4" ht="15" thickBot="1" x14ac:dyDescent="0.35">
      <c r="A117" s="365"/>
      <c r="B117" s="375"/>
      <c r="C117" s="366"/>
      <c r="D117" s="62"/>
    </row>
    <row r="120" spans="1:4" x14ac:dyDescent="0.3">
      <c r="A120" s="2"/>
    </row>
    <row r="121" spans="1:4" x14ac:dyDescent="0.3">
      <c r="A121" s="325"/>
    </row>
    <row r="122" spans="1:4" x14ac:dyDescent="0.3">
      <c r="A122" s="325"/>
    </row>
    <row r="125" spans="1:4" ht="21" x14ac:dyDescent="0.4">
      <c r="A125" s="563"/>
    </row>
    <row r="126" spans="1:4" ht="15" thickBot="1" x14ac:dyDescent="0.35">
      <c r="A126" s="6"/>
    </row>
    <row r="127" spans="1:4" ht="15" thickBot="1" x14ac:dyDescent="0.35">
      <c r="A127" s="504"/>
      <c r="B127" s="504"/>
      <c r="C127" s="543"/>
    </row>
    <row r="128" spans="1:4" x14ac:dyDescent="0.3">
      <c r="A128" s="292"/>
      <c r="B128" s="513"/>
      <c r="C128" s="544"/>
    </row>
    <row r="129" spans="1:28" x14ac:dyDescent="0.3">
      <c r="A129" s="292"/>
      <c r="B129" s="513"/>
      <c r="C129" s="544"/>
      <c r="E129" s="546"/>
    </row>
    <row r="130" spans="1:28" ht="15" thickBot="1" x14ac:dyDescent="0.35">
      <c r="A130" s="292"/>
      <c r="B130" s="513"/>
      <c r="C130" s="545"/>
      <c r="E130" s="6"/>
      <c r="F130" s="6"/>
      <c r="G130" s="501"/>
    </row>
    <row r="131" spans="1:28" ht="15" thickBot="1" x14ac:dyDescent="0.35">
      <c r="A131" s="288"/>
      <c r="B131" s="514"/>
      <c r="C131" s="647"/>
      <c r="E131" s="511"/>
      <c r="F131" s="512"/>
      <c r="G131" s="512"/>
      <c r="H131" s="512"/>
      <c r="I131" s="512"/>
      <c r="J131" s="512"/>
      <c r="K131" s="512"/>
      <c r="L131" s="512"/>
      <c r="M131" s="512"/>
      <c r="N131" s="512"/>
      <c r="O131" s="512"/>
      <c r="P131" s="512"/>
      <c r="Q131" s="512"/>
      <c r="R131" s="512"/>
      <c r="S131" s="512"/>
      <c r="T131" s="512"/>
      <c r="U131" s="512"/>
      <c r="V131" s="512"/>
      <c r="W131" s="512"/>
      <c r="X131" s="512"/>
      <c r="Y131" s="512"/>
      <c r="Z131" s="512"/>
      <c r="AA131" s="502"/>
    </row>
    <row r="132" spans="1:28" ht="15" thickBot="1" x14ac:dyDescent="0.35">
      <c r="E132" s="288"/>
      <c r="F132" s="381"/>
      <c r="G132" s="381"/>
      <c r="H132" s="381"/>
      <c r="I132" s="381"/>
      <c r="J132" s="381"/>
      <c r="K132" s="381"/>
      <c r="L132" s="381"/>
      <c r="M132" s="381"/>
      <c r="N132" s="381"/>
      <c r="O132" s="381"/>
      <c r="P132" s="381"/>
      <c r="Q132" s="381"/>
      <c r="R132" s="381"/>
      <c r="S132" s="381"/>
      <c r="T132" s="381"/>
      <c r="U132" s="381"/>
      <c r="V132" s="381"/>
      <c r="W132" s="381"/>
      <c r="X132" s="381"/>
      <c r="Y132" s="381"/>
      <c r="Z132" s="381"/>
      <c r="AA132" s="542"/>
    </row>
    <row r="134" spans="1:28" x14ac:dyDescent="0.3">
      <c r="E134" s="546"/>
    </row>
    <row r="135" spans="1:28" ht="15" thickBot="1" x14ac:dyDescent="0.35">
      <c r="E135" s="6"/>
      <c r="F135" s="6"/>
      <c r="G135" s="501"/>
      <c r="H135" s="6"/>
      <c r="J135" s="92"/>
    </row>
    <row r="136" spans="1:28" ht="15" thickBot="1" x14ac:dyDescent="0.35">
      <c r="E136" s="504"/>
      <c r="F136" s="504"/>
      <c r="G136" s="509"/>
      <c r="H136" s="509"/>
      <c r="I136" s="509"/>
      <c r="J136" s="509"/>
      <c r="K136" s="509"/>
      <c r="L136" s="509"/>
      <c r="M136" s="509"/>
      <c r="N136" s="509"/>
      <c r="O136" s="509"/>
      <c r="P136" s="509"/>
      <c r="Q136" s="509"/>
      <c r="R136" s="509"/>
      <c r="S136" s="509"/>
      <c r="T136" s="509"/>
      <c r="U136" s="509"/>
      <c r="V136" s="509"/>
      <c r="W136" s="509"/>
      <c r="X136" s="509"/>
      <c r="Y136" s="509"/>
      <c r="Z136" s="510"/>
      <c r="AA136" s="637"/>
    </row>
    <row r="137" spans="1:28" x14ac:dyDescent="0.3">
      <c r="E137" s="454"/>
      <c r="F137" s="292"/>
      <c r="G137" s="44"/>
      <c r="H137" s="44"/>
      <c r="I137" s="44"/>
      <c r="J137" s="44"/>
      <c r="K137" s="44"/>
      <c r="L137" s="44"/>
      <c r="M137" s="44"/>
      <c r="N137" s="44"/>
      <c r="O137" s="44"/>
      <c r="P137" s="44"/>
      <c r="Q137" s="44"/>
      <c r="R137" s="44"/>
      <c r="S137" s="44"/>
      <c r="T137" s="44"/>
      <c r="U137" s="44"/>
      <c r="V137" s="44"/>
      <c r="W137" s="44"/>
      <c r="X137" s="44"/>
      <c r="Y137" s="44"/>
      <c r="Z137" s="636"/>
      <c r="AA137" s="497"/>
    </row>
    <row r="138" spans="1:28" ht="15" thickBot="1" x14ac:dyDescent="0.35">
      <c r="E138" s="523"/>
      <c r="F138" s="288"/>
      <c r="G138" s="381"/>
      <c r="H138" s="381"/>
      <c r="I138" s="381"/>
      <c r="J138" s="381"/>
      <c r="K138" s="381"/>
      <c r="L138" s="381"/>
      <c r="M138" s="381"/>
      <c r="N138" s="381"/>
      <c r="O138" s="381"/>
      <c r="P138" s="381"/>
      <c r="Q138" s="381"/>
      <c r="R138" s="381"/>
      <c r="S138" s="381"/>
      <c r="T138" s="381"/>
      <c r="U138" s="381"/>
      <c r="V138" s="381"/>
      <c r="W138" s="381"/>
      <c r="X138" s="381"/>
      <c r="Y138" s="381"/>
      <c r="Z138" s="350"/>
      <c r="AA138" s="2"/>
    </row>
    <row r="140" spans="1:28" ht="15" thickBot="1" x14ac:dyDescent="0.35">
      <c r="E140" s="6"/>
    </row>
    <row r="141" spans="1:28" x14ac:dyDescent="0.3">
      <c r="E141" s="524"/>
      <c r="F141" s="534"/>
      <c r="G141" s="505"/>
      <c r="H141" s="505"/>
      <c r="I141" s="505"/>
      <c r="J141" s="505"/>
      <c r="K141" s="505"/>
      <c r="L141" s="505"/>
      <c r="M141" s="505"/>
      <c r="N141" s="505"/>
      <c r="O141" s="505"/>
      <c r="P141" s="505"/>
      <c r="Q141" s="505"/>
      <c r="R141" s="505"/>
      <c r="S141" s="505"/>
      <c r="T141" s="505"/>
      <c r="U141" s="505"/>
      <c r="V141" s="505"/>
      <c r="W141" s="505"/>
      <c r="X141" s="505"/>
      <c r="Y141" s="502"/>
      <c r="Z141" s="505"/>
      <c r="AB141" s="92"/>
    </row>
    <row r="142" spans="1:28" x14ac:dyDescent="0.3">
      <c r="E142" s="292"/>
      <c r="F142" s="70"/>
      <c r="G142" s="44"/>
      <c r="H142" s="506"/>
      <c r="I142" s="506"/>
      <c r="J142" s="506"/>
      <c r="K142" s="506"/>
      <c r="L142" s="506"/>
      <c r="M142" s="506"/>
      <c r="N142" s="506"/>
      <c r="O142" s="506"/>
      <c r="P142" s="506"/>
      <c r="Q142" s="506"/>
      <c r="R142" s="506"/>
      <c r="S142" s="506"/>
      <c r="T142" s="506"/>
      <c r="U142" s="506"/>
      <c r="V142" s="506"/>
      <c r="W142" s="506"/>
      <c r="X142" s="506"/>
      <c r="Y142" s="525"/>
      <c r="Z142" s="506"/>
    </row>
    <row r="143" spans="1:28" x14ac:dyDescent="0.3">
      <c r="E143" s="351"/>
      <c r="F143" s="535"/>
      <c r="G143" s="526"/>
      <c r="H143" s="526"/>
      <c r="I143" s="526"/>
      <c r="J143" s="526"/>
      <c r="K143" s="526"/>
      <c r="L143" s="526"/>
      <c r="M143" s="526"/>
      <c r="N143" s="526"/>
      <c r="O143" s="526"/>
      <c r="P143" s="526"/>
      <c r="Q143" s="526"/>
      <c r="R143" s="526"/>
      <c r="S143" s="526"/>
      <c r="T143" s="526"/>
      <c r="U143" s="526"/>
      <c r="V143" s="526"/>
      <c r="W143" s="526"/>
      <c r="X143" s="526"/>
      <c r="Y143" s="527"/>
      <c r="Z143" s="526"/>
    </row>
    <row r="144" spans="1:28" x14ac:dyDescent="0.3">
      <c r="E144" s="528"/>
      <c r="F144" s="536"/>
      <c r="G144" s="529"/>
      <c r="H144" s="529"/>
      <c r="I144" s="529"/>
      <c r="J144" s="529"/>
      <c r="K144" s="529"/>
      <c r="L144" s="529"/>
      <c r="M144" s="529"/>
      <c r="N144" s="529"/>
      <c r="O144" s="529"/>
      <c r="P144" s="529"/>
      <c r="Q144" s="529"/>
      <c r="R144" s="529"/>
      <c r="S144" s="529"/>
      <c r="T144" s="529"/>
      <c r="U144" s="529"/>
      <c r="V144" s="529"/>
      <c r="W144" s="529"/>
      <c r="X144" s="529"/>
      <c r="Y144" s="530"/>
      <c r="Z144" s="529"/>
    </row>
    <row r="145" spans="1:44" ht="15" thickBot="1" x14ac:dyDescent="0.35">
      <c r="E145" s="531"/>
      <c r="F145" s="537"/>
      <c r="G145" s="532"/>
      <c r="H145" s="532"/>
      <c r="I145" s="532"/>
      <c r="J145" s="532"/>
      <c r="K145" s="532"/>
      <c r="L145" s="532"/>
      <c r="M145" s="532"/>
      <c r="N145" s="532"/>
      <c r="O145" s="532"/>
      <c r="P145" s="532"/>
      <c r="Q145" s="532"/>
      <c r="R145" s="532"/>
      <c r="S145" s="532"/>
      <c r="T145" s="532"/>
      <c r="U145" s="532"/>
      <c r="V145" s="532"/>
      <c r="W145" s="532"/>
      <c r="X145" s="532"/>
      <c r="Y145" s="533"/>
      <c r="Z145" s="532"/>
    </row>
    <row r="146" spans="1:44" ht="15" thickBot="1" x14ac:dyDescent="0.35">
      <c r="Z146" s="62"/>
    </row>
    <row r="147" spans="1:44" ht="15" thickBot="1" x14ac:dyDescent="0.35">
      <c r="E147" s="538"/>
      <c r="F147" s="540"/>
      <c r="G147" s="540"/>
      <c r="H147" s="540"/>
      <c r="I147" s="540"/>
      <c r="J147" s="540"/>
      <c r="K147" s="540"/>
      <c r="L147" s="540"/>
      <c r="M147" s="540"/>
      <c r="N147" s="540"/>
      <c r="O147" s="540"/>
      <c r="P147" s="540"/>
      <c r="Q147" s="540"/>
      <c r="R147" s="540"/>
      <c r="S147" s="540"/>
      <c r="T147" s="540"/>
      <c r="U147" s="540"/>
      <c r="V147" s="540"/>
      <c r="W147" s="540"/>
      <c r="X147" s="540"/>
      <c r="Y147" s="540"/>
      <c r="Z147" s="540"/>
    </row>
    <row r="148" spans="1:44" ht="15" thickBot="1" x14ac:dyDescent="0.35">
      <c r="Z148" s="62"/>
    </row>
    <row r="149" spans="1:44" x14ac:dyDescent="0.3">
      <c r="E149" s="511"/>
      <c r="F149" s="512"/>
      <c r="G149" s="519"/>
      <c r="H149" s="517"/>
      <c r="I149" s="518"/>
      <c r="Z149" s="62"/>
    </row>
    <row r="150" spans="1:44" ht="15" thickBot="1" x14ac:dyDescent="0.35">
      <c r="E150" s="507"/>
      <c r="F150" s="381"/>
      <c r="G150" s="520"/>
      <c r="H150" s="381"/>
      <c r="I150" s="515"/>
      <c r="Z150" s="62"/>
    </row>
    <row r="151" spans="1:44" x14ac:dyDescent="0.3">
      <c r="Z151" s="62"/>
    </row>
    <row r="152" spans="1:44" x14ac:dyDescent="0.3">
      <c r="Z152" s="62"/>
    </row>
    <row r="153" spans="1:44" x14ac:dyDescent="0.3">
      <c r="E153" s="6"/>
    </row>
    <row r="155" spans="1:44" ht="21" x14ac:dyDescent="0.4">
      <c r="A155" s="563"/>
    </row>
    <row r="156" spans="1:44" ht="15" thickBot="1" x14ac:dyDescent="0.35">
      <c r="B156" s="92"/>
    </row>
    <row r="157" spans="1:44" ht="15" thickBot="1" x14ac:dyDescent="0.35">
      <c r="A157" s="547"/>
      <c r="B157" s="564"/>
      <c r="E157" s="504"/>
      <c r="F157" s="509"/>
      <c r="G157" s="510"/>
      <c r="H157" s="504"/>
      <c r="I157" s="509"/>
      <c r="J157" s="510"/>
      <c r="K157" s="504"/>
      <c r="L157" s="509"/>
      <c r="M157" s="510"/>
      <c r="N157" s="504"/>
      <c r="O157" s="509"/>
      <c r="P157" s="510"/>
      <c r="Q157" s="504"/>
      <c r="R157" s="509"/>
      <c r="S157" s="510"/>
      <c r="T157" s="504"/>
      <c r="U157" s="509"/>
      <c r="V157" s="510"/>
      <c r="W157" s="504"/>
      <c r="X157" s="504"/>
      <c r="Y157" s="510"/>
      <c r="Z157" s="504"/>
      <c r="AA157" s="510"/>
    </row>
    <row r="158" spans="1:44" ht="15" thickBot="1" x14ac:dyDescent="0.35">
      <c r="E158" s="288"/>
      <c r="F158" s="381"/>
      <c r="G158" s="381"/>
      <c r="H158" s="381"/>
      <c r="I158" s="381"/>
      <c r="J158" s="381"/>
      <c r="K158" s="381"/>
      <c r="L158" s="381"/>
      <c r="M158" s="381"/>
      <c r="N158" s="381"/>
      <c r="O158" s="381"/>
      <c r="P158" s="381"/>
      <c r="Q158" s="381"/>
      <c r="R158" s="381"/>
      <c r="S158" s="381"/>
      <c r="T158" s="381"/>
      <c r="U158" s="381"/>
      <c r="V158" s="381"/>
      <c r="W158" s="381"/>
      <c r="X158" s="381"/>
      <c r="Y158" s="350"/>
      <c r="Z158" s="381"/>
      <c r="AA158" s="350"/>
    </row>
    <row r="159" spans="1:44" ht="15" thickBot="1" x14ac:dyDescent="0.35">
      <c r="A159" s="92"/>
    </row>
    <row r="160" spans="1:44" s="6" customFormat="1" ht="15" thickBot="1" x14ac:dyDescent="0.35">
      <c r="E160" s="550"/>
      <c r="F160" s="516"/>
      <c r="G160" s="516"/>
      <c r="H160" s="516"/>
      <c r="I160" s="516"/>
      <c r="J160" s="516"/>
      <c r="K160" s="516"/>
      <c r="L160" s="516"/>
      <c r="M160" s="516"/>
      <c r="N160" s="516"/>
      <c r="O160" s="516"/>
      <c r="P160" s="518"/>
      <c r="AB160" s="504"/>
      <c r="AC160" s="465"/>
      <c r="AD160" s="465"/>
      <c r="AE160" s="465"/>
      <c r="AF160" s="465"/>
      <c r="AG160" s="465"/>
      <c r="AH160" s="465"/>
      <c r="AI160" s="465"/>
      <c r="AJ160" s="465"/>
      <c r="AK160" s="465"/>
      <c r="AL160" s="465"/>
      <c r="AM160" s="465"/>
      <c r="AN160" s="465"/>
      <c r="AO160" s="465"/>
      <c r="AP160" s="465"/>
      <c r="AQ160" s="465"/>
      <c r="AR160" s="465"/>
    </row>
    <row r="161" spans="1:44" ht="15" thickBot="1" x14ac:dyDescent="0.35">
      <c r="E161" s="292"/>
      <c r="F161" s="44"/>
      <c r="G161" s="44"/>
      <c r="H161" s="44"/>
      <c r="I161" s="44"/>
      <c r="J161" s="44"/>
      <c r="K161" s="44"/>
      <c r="L161" s="44"/>
      <c r="M161" s="44"/>
      <c r="N161" s="44"/>
      <c r="O161" s="44"/>
      <c r="P161" s="349"/>
      <c r="AB161" s="381"/>
    </row>
    <row r="162" spans="1:44" ht="15" thickBot="1" x14ac:dyDescent="0.35">
      <c r="E162" s="531"/>
      <c r="F162" s="381"/>
      <c r="G162" s="548"/>
      <c r="H162" s="548"/>
      <c r="I162" s="381"/>
      <c r="J162" s="548"/>
      <c r="K162" s="548"/>
      <c r="L162" s="381"/>
      <c r="M162" s="548"/>
      <c r="N162" s="548"/>
      <c r="O162" s="381"/>
      <c r="P162" s="549"/>
    </row>
    <row r="163" spans="1:44" ht="15" thickBot="1" x14ac:dyDescent="0.35">
      <c r="E163" s="541"/>
      <c r="F163" s="539"/>
      <c r="G163" s="539"/>
      <c r="H163" s="539"/>
      <c r="I163" s="539"/>
      <c r="J163" s="539"/>
      <c r="K163" s="539"/>
      <c r="L163" s="539"/>
      <c r="M163" s="539"/>
      <c r="N163" s="539"/>
      <c r="O163" s="539"/>
      <c r="P163" s="503"/>
      <c r="AB163" s="6"/>
      <c r="AC163" s="6"/>
      <c r="AD163" s="6"/>
      <c r="AE163" s="6"/>
      <c r="AF163" s="6"/>
      <c r="AG163" s="6"/>
      <c r="AH163" s="6"/>
      <c r="AI163" s="6"/>
      <c r="AJ163" s="6"/>
      <c r="AK163" s="6"/>
      <c r="AL163" s="6"/>
      <c r="AM163" s="6"/>
      <c r="AN163" s="6"/>
      <c r="AO163" s="6"/>
      <c r="AP163" s="6"/>
      <c r="AQ163" s="6"/>
      <c r="AR163" s="6"/>
    </row>
    <row r="166" spans="1:44" ht="15" thickBot="1" x14ac:dyDescent="0.35"/>
    <row r="167" spans="1:44" x14ac:dyDescent="0.3">
      <c r="A167" s="6"/>
      <c r="E167" s="552"/>
      <c r="F167" s="379"/>
      <c r="G167" s="379"/>
      <c r="H167" s="379"/>
      <c r="I167" s="379"/>
      <c r="J167" s="379"/>
      <c r="K167" s="379"/>
      <c r="L167" s="379"/>
      <c r="M167" s="379"/>
      <c r="N167" s="379"/>
      <c r="O167" s="379"/>
      <c r="P167" s="379"/>
      <c r="Q167" s="379"/>
      <c r="R167" s="379"/>
      <c r="S167" s="379"/>
      <c r="T167" s="379"/>
      <c r="U167" s="379"/>
      <c r="V167" s="379"/>
      <c r="W167" s="379"/>
      <c r="X167" s="379"/>
      <c r="Y167" s="638"/>
    </row>
    <row r="168" spans="1:44" x14ac:dyDescent="0.3">
      <c r="E168" s="551"/>
      <c r="F168" s="61"/>
      <c r="G168" s="61"/>
      <c r="H168" s="61"/>
      <c r="I168" s="551"/>
      <c r="J168" s="61"/>
      <c r="K168" s="61"/>
      <c r="L168" s="61"/>
      <c r="M168" s="551"/>
      <c r="N168" s="61"/>
      <c r="O168" s="61"/>
      <c r="P168" s="61"/>
      <c r="Q168" s="551"/>
      <c r="R168" s="61"/>
      <c r="S168" s="61"/>
      <c r="T168" s="61"/>
      <c r="U168" s="551"/>
      <c r="V168" s="61"/>
      <c r="W168" s="61"/>
      <c r="X168" s="61"/>
      <c r="Y168" s="639"/>
    </row>
    <row r="169" spans="1:44" x14ac:dyDescent="0.3">
      <c r="E169" s="556"/>
      <c r="F169" s="557"/>
      <c r="G169" s="557"/>
      <c r="H169" s="557"/>
      <c r="I169" s="557"/>
      <c r="J169" s="557"/>
      <c r="K169" s="557"/>
      <c r="L169" s="557"/>
      <c r="M169" s="557"/>
      <c r="N169" s="557"/>
      <c r="O169" s="557"/>
      <c r="P169" s="557"/>
      <c r="Q169" s="557"/>
      <c r="R169" s="557"/>
      <c r="S169" s="557"/>
      <c r="T169" s="557"/>
      <c r="U169" s="557"/>
      <c r="V169" s="557"/>
      <c r="W169" s="557"/>
      <c r="X169" s="557"/>
      <c r="Y169" s="640"/>
    </row>
    <row r="170" spans="1:44" x14ac:dyDescent="0.3">
      <c r="E170" s="551"/>
      <c r="F170" s="61"/>
      <c r="G170" s="61"/>
      <c r="H170" s="61"/>
      <c r="I170" s="61"/>
      <c r="J170" s="61"/>
      <c r="K170" s="61"/>
      <c r="L170" s="61"/>
      <c r="M170" s="61"/>
      <c r="N170" s="61"/>
      <c r="O170" s="61"/>
      <c r="P170" s="61"/>
      <c r="Q170" s="61"/>
      <c r="R170" s="61"/>
      <c r="S170" s="61"/>
      <c r="T170" s="61"/>
      <c r="U170" s="61"/>
      <c r="V170" s="61"/>
      <c r="W170" s="61"/>
      <c r="X170" s="61"/>
      <c r="Y170" s="639"/>
    </row>
    <row r="171" spans="1:44" x14ac:dyDescent="0.3">
      <c r="E171" s="554"/>
      <c r="F171" s="17"/>
      <c r="G171" s="17"/>
      <c r="H171" s="17"/>
      <c r="I171" s="17"/>
      <c r="J171" s="17"/>
      <c r="K171" s="17"/>
      <c r="L171" s="17"/>
      <c r="M171" s="17"/>
      <c r="N171" s="17"/>
      <c r="O171" s="17"/>
      <c r="P171" s="17"/>
      <c r="Q171" s="17"/>
      <c r="R171" s="17"/>
      <c r="S171" s="17"/>
      <c r="T171" s="17"/>
      <c r="U171" s="17"/>
      <c r="V171" s="17"/>
      <c r="W171" s="17"/>
      <c r="X171" s="17"/>
      <c r="Y171" s="641"/>
    </row>
    <row r="172" spans="1:44" ht="15" thickBot="1" x14ac:dyDescent="0.35">
      <c r="E172" s="558"/>
      <c r="F172" s="559"/>
      <c r="G172" s="559"/>
      <c r="H172" s="559"/>
      <c r="I172" s="559"/>
      <c r="J172" s="559"/>
      <c r="K172" s="559"/>
      <c r="L172" s="559"/>
      <c r="M172" s="559"/>
      <c r="N172" s="559"/>
      <c r="O172" s="559"/>
      <c r="P172" s="559"/>
      <c r="Q172" s="559"/>
      <c r="R172" s="559"/>
      <c r="S172" s="559"/>
      <c r="T172" s="559"/>
      <c r="U172" s="559"/>
      <c r="V172" s="559"/>
      <c r="W172" s="559"/>
      <c r="X172" s="559"/>
      <c r="Y172" s="642"/>
    </row>
    <row r="174" spans="1:44" ht="15" thickBot="1" x14ac:dyDescent="0.35"/>
    <row r="175" spans="1:44" x14ac:dyDescent="0.3">
      <c r="E175" s="552"/>
      <c r="F175" s="379"/>
      <c r="G175" s="379"/>
      <c r="H175" s="379"/>
      <c r="I175" s="379"/>
      <c r="J175" s="379"/>
      <c r="K175" s="379"/>
      <c r="L175" s="379"/>
      <c r="M175" s="379"/>
      <c r="N175" s="379"/>
      <c r="O175" s="379"/>
      <c r="P175" s="379"/>
      <c r="Q175" s="379"/>
      <c r="R175" s="379"/>
      <c r="S175" s="379"/>
      <c r="T175" s="379"/>
      <c r="U175" s="379"/>
      <c r="V175" s="379"/>
      <c r="W175" s="379"/>
      <c r="X175" s="553"/>
      <c r="Y175" s="638"/>
    </row>
    <row r="176" spans="1:44" x14ac:dyDescent="0.3">
      <c r="E176" s="292"/>
      <c r="F176" s="44"/>
      <c r="G176" s="44"/>
      <c r="H176" s="44"/>
      <c r="I176" s="44"/>
      <c r="J176" s="44"/>
      <c r="K176" s="44"/>
      <c r="L176" s="44"/>
      <c r="M176" s="44"/>
      <c r="N176" s="44"/>
      <c r="O176" s="44"/>
      <c r="P176" s="44"/>
      <c r="Q176" s="44"/>
      <c r="R176" s="44"/>
      <c r="S176" s="44"/>
      <c r="T176" s="44"/>
      <c r="U176" s="44"/>
      <c r="V176" s="44"/>
      <c r="W176" s="44"/>
      <c r="X176" s="349"/>
      <c r="Y176" s="544"/>
    </row>
    <row r="177" spans="2:25" ht="15" thickBot="1" x14ac:dyDescent="0.35">
      <c r="E177" s="507"/>
      <c r="F177" s="508"/>
      <c r="G177" s="508"/>
      <c r="H177" s="508"/>
      <c r="I177" s="508"/>
      <c r="J177" s="508"/>
      <c r="K177" s="508"/>
      <c r="L177" s="508"/>
      <c r="M177" s="508"/>
      <c r="N177" s="508"/>
      <c r="O177" s="508"/>
      <c r="P177" s="508"/>
      <c r="Q177" s="508"/>
      <c r="R177" s="508"/>
      <c r="S177" s="508"/>
      <c r="T177" s="508"/>
      <c r="U177" s="508"/>
      <c r="V177" s="508"/>
      <c r="W177" s="508"/>
      <c r="X177" s="555"/>
      <c r="Y177" s="643"/>
    </row>
    <row r="182" spans="2:25" ht="15" thickBot="1" x14ac:dyDescent="0.35"/>
    <row r="183" spans="2:25" ht="15" thickBot="1" x14ac:dyDescent="0.35">
      <c r="B183" s="22"/>
      <c r="U183" s="644"/>
      <c r="V183" s="645"/>
      <c r="W183" s="646"/>
    </row>
    <row r="195" spans="1:44" s="563" customFormat="1" ht="21" x14ac:dyDescent="0.4">
      <c r="AB195" s="465"/>
      <c r="AC195" s="465"/>
      <c r="AD195" s="465"/>
      <c r="AE195" s="465"/>
      <c r="AF195" s="465"/>
      <c r="AG195" s="465"/>
      <c r="AH195" s="465"/>
      <c r="AI195" s="465"/>
      <c r="AJ195" s="465"/>
      <c r="AK195" s="465"/>
      <c r="AL195" s="465"/>
      <c r="AM195" s="465"/>
      <c r="AN195" s="465"/>
      <c r="AO195" s="465"/>
      <c r="AP195" s="465"/>
      <c r="AQ195" s="465"/>
      <c r="AR195" s="465"/>
    </row>
    <row r="196" spans="1:44" ht="18" x14ac:dyDescent="0.35">
      <c r="A196" s="201"/>
    </row>
    <row r="197" spans="1:44" x14ac:dyDescent="0.3">
      <c r="B197" s="6"/>
      <c r="C197" s="6"/>
      <c r="D197" s="6"/>
      <c r="E197" s="6"/>
    </row>
    <row r="198" spans="1:44" ht="21" x14ac:dyDescent="0.4">
      <c r="B198" s="62"/>
      <c r="C198" s="62"/>
      <c r="D198" s="586"/>
      <c r="AB198" s="563"/>
      <c r="AC198" s="563"/>
      <c r="AD198" s="563"/>
      <c r="AE198" s="563"/>
      <c r="AF198" s="563"/>
      <c r="AG198" s="563"/>
      <c r="AH198" s="563"/>
      <c r="AI198" s="563"/>
      <c r="AJ198" s="563"/>
      <c r="AK198" s="563"/>
      <c r="AL198" s="563"/>
      <c r="AM198" s="563"/>
      <c r="AN198" s="563"/>
      <c r="AO198" s="563"/>
      <c r="AP198" s="563"/>
      <c r="AQ198" s="563"/>
      <c r="AR198" s="563"/>
    </row>
    <row r="199" spans="1:44" ht="15" thickBot="1" x14ac:dyDescent="0.35">
      <c r="B199" s="62"/>
      <c r="C199" s="62"/>
      <c r="D199" s="586"/>
    </row>
    <row r="200" spans="1:44" x14ac:dyDescent="0.3">
      <c r="B200" s="62"/>
      <c r="C200" s="62"/>
      <c r="D200" s="586"/>
      <c r="E200" s="619"/>
      <c r="F200" s="620"/>
      <c r="G200" s="620"/>
      <c r="H200" s="620"/>
      <c r="I200" s="620"/>
      <c r="J200" s="620"/>
      <c r="K200" s="620"/>
      <c r="L200" s="620"/>
      <c r="M200" s="620"/>
      <c r="N200" s="620"/>
      <c r="O200" s="620"/>
      <c r="P200" s="620"/>
      <c r="Q200" s="620"/>
      <c r="R200" s="620"/>
      <c r="S200" s="620"/>
      <c r="T200" s="620"/>
      <c r="U200" s="620"/>
      <c r="V200" s="620"/>
      <c r="W200" s="620"/>
      <c r="X200" s="621"/>
    </row>
    <row r="201" spans="1:44" x14ac:dyDescent="0.3">
      <c r="E201" s="292"/>
      <c r="F201" s="44"/>
      <c r="G201" s="44"/>
      <c r="H201" s="44"/>
      <c r="I201" s="44"/>
      <c r="J201" s="44"/>
      <c r="K201" s="44"/>
      <c r="L201" s="44"/>
      <c r="M201" s="44"/>
      <c r="N201" s="44"/>
      <c r="O201" s="44"/>
      <c r="P201" s="44"/>
      <c r="Q201" s="44"/>
      <c r="R201" s="44"/>
      <c r="S201" s="44"/>
      <c r="T201" s="44"/>
      <c r="U201" s="44"/>
      <c r="V201" s="44"/>
      <c r="W201" s="44"/>
      <c r="X201" s="349"/>
    </row>
    <row r="202" spans="1:44" ht="15" thickBot="1" x14ac:dyDescent="0.35">
      <c r="E202" s="288"/>
      <c r="F202" s="381"/>
      <c r="G202" s="381"/>
      <c r="H202" s="381"/>
      <c r="I202" s="381"/>
      <c r="J202" s="381"/>
      <c r="K202" s="381"/>
      <c r="L202" s="381"/>
      <c r="M202" s="381"/>
      <c r="N202" s="381"/>
      <c r="O202" s="381"/>
      <c r="P202" s="381"/>
      <c r="Q202" s="381"/>
      <c r="R202" s="381"/>
      <c r="S202" s="381"/>
      <c r="T202" s="381"/>
      <c r="U202" s="381"/>
      <c r="V202" s="381"/>
      <c r="W202" s="381"/>
      <c r="X202" s="350"/>
    </row>
    <row r="208" spans="1:44" x14ac:dyDescent="0.3">
      <c r="G208" s="565"/>
    </row>
    <row r="211" spans="7:7" x14ac:dyDescent="0.3">
      <c r="G211" s="565"/>
    </row>
  </sheetData>
  <mergeCells count="5">
    <mergeCell ref="A34:I34"/>
    <mergeCell ref="A66:G66"/>
    <mergeCell ref="A75:M75"/>
    <mergeCell ref="C13:C26"/>
    <mergeCell ref="A2:K2"/>
  </mergeCells>
  <hyperlinks>
    <hyperlink ref="A73" r:id="rId1" xr:uid="{3EF35FCF-7544-4D1B-8D38-6E58EF71F6BB}"/>
    <hyperlink ref="A74" r:id="rId2" xr:uid="{AAFE6B21-7237-449F-AF2D-DDD50EC74EE3}"/>
  </hyperlinks>
  <pageMargins left="0.7" right="0.7" top="0.75" bottom="0.75" header="0.3" footer="0.3"/>
  <pageSetup orientation="portrait" horizontalDpi="4294967293" verticalDpi="4294967293"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5DC0A-F561-4159-A84A-B1A4E88736DE}">
  <dimension ref="A1:CS271"/>
  <sheetViews>
    <sheetView topLeftCell="A37" workbookViewId="0">
      <selection activeCell="J15" sqref="J15"/>
    </sheetView>
  </sheetViews>
  <sheetFormatPr defaultRowHeight="14.4" x14ac:dyDescent="0.3"/>
  <cols>
    <col min="1" max="1" width="36.6640625" style="465" customWidth="1"/>
    <col min="2" max="2" width="13.77734375" style="465" customWidth="1"/>
    <col min="3" max="3" width="13.6640625" style="465" bestFit="1" customWidth="1"/>
    <col min="4" max="4" width="12.77734375" style="465" customWidth="1"/>
    <col min="5" max="5" width="14.88671875" style="465" customWidth="1"/>
    <col min="6" max="6" width="13.33203125" style="465" customWidth="1"/>
    <col min="7" max="7" width="16.5546875" style="465" customWidth="1"/>
    <col min="8" max="8" width="23.5546875" style="465" customWidth="1"/>
    <col min="9" max="9" width="11.44140625" style="465" customWidth="1"/>
    <col min="10" max="20" width="13.77734375" style="465" bestFit="1" customWidth="1"/>
    <col min="21" max="21" width="11.6640625" style="465" customWidth="1"/>
    <col min="22" max="22" width="14.109375" style="465" customWidth="1"/>
    <col min="23" max="24" width="12.33203125" style="465" customWidth="1"/>
    <col min="25" max="25" width="11.6640625" style="465" bestFit="1" customWidth="1"/>
    <col min="26" max="26" width="8.88671875" style="465"/>
    <col min="27" max="27" width="27.6640625" style="465" customWidth="1"/>
    <col min="28" max="28" width="13.5546875" style="465" bestFit="1" customWidth="1"/>
    <col min="29" max="44" width="11.33203125" style="465" bestFit="1" customWidth="1"/>
    <col min="45" max="16384" width="8.88671875" style="465"/>
  </cols>
  <sheetData>
    <row r="1" spans="1:13" s="156" customFormat="1" ht="44.4" customHeight="1" x14ac:dyDescent="0.4">
      <c r="A1" s="960" t="s">
        <v>949</v>
      </c>
      <c r="B1" s="960"/>
      <c r="C1" s="960"/>
      <c r="D1" s="960"/>
      <c r="E1" s="960"/>
      <c r="F1" s="960"/>
      <c r="G1" s="960"/>
      <c r="H1" s="960"/>
      <c r="I1" s="960"/>
      <c r="J1" s="960"/>
    </row>
    <row r="2" spans="1:13" s="156" customFormat="1" ht="110.4" customHeight="1" x14ac:dyDescent="0.4">
      <c r="A2" s="986" t="s">
        <v>980</v>
      </c>
      <c r="B2" s="986"/>
      <c r="C2" s="986"/>
      <c r="D2" s="986"/>
      <c r="E2" s="986"/>
      <c r="F2" s="986"/>
      <c r="G2" s="986"/>
      <c r="H2" s="986"/>
      <c r="I2" s="986"/>
      <c r="J2" s="986"/>
    </row>
    <row r="3" spans="1:13" s="156" customFormat="1" ht="64.2" customHeight="1" x14ac:dyDescent="0.4">
      <c r="A3" s="987" t="s">
        <v>971</v>
      </c>
      <c r="B3" s="987"/>
      <c r="C3" s="987"/>
      <c r="D3" s="987"/>
      <c r="E3" s="987"/>
      <c r="F3" s="987"/>
      <c r="G3" s="987"/>
      <c r="H3" s="987"/>
      <c r="I3" s="987"/>
      <c r="J3" s="987"/>
      <c r="K3" s="238"/>
      <c r="L3" s="238"/>
      <c r="M3" s="238"/>
    </row>
    <row r="4" spans="1:13" x14ac:dyDescent="0.3">
      <c r="A4" s="758" t="s">
        <v>970</v>
      </c>
      <c r="B4" s="758"/>
    </row>
    <row r="5" spans="1:13" s="843" customFormat="1" x14ac:dyDescent="0.3">
      <c r="A5" s="868" t="s">
        <v>265</v>
      </c>
      <c r="B5" s="758"/>
    </row>
    <row r="6" spans="1:13" ht="23.4" customHeight="1" thickBot="1" x14ac:dyDescent="0.4">
      <c r="A6" s="95" t="s">
        <v>426</v>
      </c>
      <c r="B6" s="83"/>
      <c r="C6" s="6"/>
      <c r="F6" s="9"/>
    </row>
    <row r="7" spans="1:13" ht="29.4" thickBot="1" x14ac:dyDescent="0.35">
      <c r="A7" s="612" t="s">
        <v>185</v>
      </c>
      <c r="B7" s="952">
        <v>2018</v>
      </c>
      <c r="C7" s="812" t="s">
        <v>981</v>
      </c>
    </row>
    <row r="8" spans="1:13" x14ac:dyDescent="0.3">
      <c r="A8" s="954" t="s">
        <v>939</v>
      </c>
      <c r="B8" s="955">
        <f>'8. Country data'!V71/1000</f>
        <v>178.44</v>
      </c>
      <c r="C8" s="956">
        <f>C13</f>
        <v>0.99999999999999989</v>
      </c>
    </row>
    <row r="9" spans="1:13" x14ac:dyDescent="0.3">
      <c r="A9" s="292" t="s">
        <v>983</v>
      </c>
      <c r="B9" s="953">
        <f>(B18+B19+B20+B22+B23+B24+B25+B26+B28+B29)-B24</f>
        <v>117.239</v>
      </c>
      <c r="C9" s="951">
        <f>B9/B8</f>
        <v>0.65702196816857206</v>
      </c>
    </row>
    <row r="10" spans="1:13" x14ac:dyDescent="0.3">
      <c r="A10" s="351" t="s">
        <v>950</v>
      </c>
      <c r="B10" s="953">
        <f>B30+B21+B27</f>
        <v>16.161999999999999</v>
      </c>
      <c r="C10" s="951">
        <f>B10/B8</f>
        <v>9.0573862362698945E-2</v>
      </c>
    </row>
    <row r="11" spans="1:13" s="899" customFormat="1" x14ac:dyDescent="0.3">
      <c r="A11" s="2" t="s">
        <v>982</v>
      </c>
      <c r="B11" s="953">
        <f>B24</f>
        <v>6.3369999999999997</v>
      </c>
      <c r="C11" s="951">
        <f>B11/B8</f>
        <v>3.5513337816633038E-2</v>
      </c>
    </row>
    <row r="12" spans="1:13" s="899" customFormat="1" ht="15" thickBot="1" x14ac:dyDescent="0.35">
      <c r="A12" s="2" t="s">
        <v>984</v>
      </c>
      <c r="B12" s="953">
        <f>B8-(B9+B10)-B24</f>
        <v>38.701999999999984</v>
      </c>
      <c r="C12" s="951">
        <f>B12/B8</f>
        <v>0.21689083165209586</v>
      </c>
    </row>
    <row r="13" spans="1:13" s="899" customFormat="1" ht="15" thickBot="1" x14ac:dyDescent="0.35">
      <c r="A13" s="957" t="s">
        <v>939</v>
      </c>
      <c r="B13" s="958">
        <f>B8</f>
        <v>178.44</v>
      </c>
      <c r="C13" s="959">
        <f>SUM(C9+C10+C11+C12)</f>
        <v>0.99999999999999989</v>
      </c>
    </row>
    <row r="14" spans="1:13" s="899" customFormat="1" x14ac:dyDescent="0.3">
      <c r="A14" s="2"/>
      <c r="B14" s="291"/>
    </row>
    <row r="15" spans="1:13" s="899" customFormat="1" x14ac:dyDescent="0.3">
      <c r="A15" s="2"/>
      <c r="B15" s="291"/>
    </row>
    <row r="16" spans="1:13" ht="15" thickBot="1" x14ac:dyDescent="0.35">
      <c r="A16" s="44"/>
      <c r="B16" s="291"/>
      <c r="C16" s="255"/>
    </row>
    <row r="17" spans="1:3" ht="28.8" x14ac:dyDescent="0.3">
      <c r="A17" s="245" t="s">
        <v>907</v>
      </c>
      <c r="B17" s="763" t="s">
        <v>908</v>
      </c>
      <c r="C17" s="932" t="s">
        <v>956</v>
      </c>
    </row>
    <row r="18" spans="1:3" x14ac:dyDescent="0.3">
      <c r="A18" s="760" t="s">
        <v>926</v>
      </c>
      <c r="B18" s="776">
        <f>V94/1000</f>
        <v>54.908000000000001</v>
      </c>
      <c r="C18" s="836">
        <f>B18/B8</f>
        <v>0.30771127549876709</v>
      </c>
    </row>
    <row r="19" spans="1:3" x14ac:dyDescent="0.3">
      <c r="A19" s="760" t="s">
        <v>397</v>
      </c>
      <c r="B19" s="776">
        <f t="shared" ref="B19:B30" si="0">V95/1000</f>
        <v>18.510999999999999</v>
      </c>
      <c r="C19" s="837">
        <f>B19/B8</f>
        <v>0.10373795113203317</v>
      </c>
    </row>
    <row r="20" spans="1:3" x14ac:dyDescent="0.3">
      <c r="A20" s="760" t="s">
        <v>398</v>
      </c>
      <c r="B20" s="776">
        <f t="shared" si="0"/>
        <v>8.3339999999999996</v>
      </c>
      <c r="C20" s="837">
        <f>B20/B8</f>
        <v>4.6704774714189642E-2</v>
      </c>
    </row>
    <row r="21" spans="1:3" x14ac:dyDescent="0.3">
      <c r="A21" s="760" t="s">
        <v>389</v>
      </c>
      <c r="B21" s="776">
        <f t="shared" si="0"/>
        <v>7.2949999999999999</v>
      </c>
      <c r="C21" s="836">
        <f>B21/B8</f>
        <v>4.0882089217664203E-2</v>
      </c>
    </row>
    <row r="22" spans="1:3" x14ac:dyDescent="0.3">
      <c r="A22" s="760" t="s">
        <v>401</v>
      </c>
      <c r="B22" s="776">
        <f t="shared" si="0"/>
        <v>7.008</v>
      </c>
      <c r="C22" s="837">
        <f>B22/B8</f>
        <v>3.9273705447209144E-2</v>
      </c>
    </row>
    <row r="23" spans="1:3" x14ac:dyDescent="0.3">
      <c r="A23" s="760" t="s">
        <v>927</v>
      </c>
      <c r="B23" s="776">
        <f t="shared" si="0"/>
        <v>6.8570000000000002</v>
      </c>
      <c r="C23" s="837">
        <f>B23/B8</f>
        <v>3.8427482627213634E-2</v>
      </c>
    </row>
    <row r="24" spans="1:3" x14ac:dyDescent="0.3">
      <c r="A24" s="760" t="s">
        <v>406</v>
      </c>
      <c r="B24" s="776">
        <f t="shared" si="0"/>
        <v>6.3369999999999997</v>
      </c>
      <c r="C24" s="836">
        <f>B24/B8</f>
        <v>3.5513337816633038E-2</v>
      </c>
    </row>
    <row r="25" spans="1:3" x14ac:dyDescent="0.3">
      <c r="A25" s="760" t="s">
        <v>393</v>
      </c>
      <c r="B25" s="776">
        <f t="shared" si="0"/>
        <v>6.077</v>
      </c>
      <c r="C25" s="837">
        <f>B25/B8</f>
        <v>3.4056265411342747E-2</v>
      </c>
    </row>
    <row r="26" spans="1:3" x14ac:dyDescent="0.3">
      <c r="A26" s="760" t="s">
        <v>399</v>
      </c>
      <c r="B26" s="776">
        <f t="shared" si="0"/>
        <v>5.5129999999999999</v>
      </c>
      <c r="C26" s="837">
        <f>B26/B8</f>
        <v>3.0895539116789956E-2</v>
      </c>
    </row>
    <row r="27" spans="1:3" x14ac:dyDescent="0.3">
      <c r="A27" s="760" t="s">
        <v>390</v>
      </c>
      <c r="B27" s="776">
        <f t="shared" si="0"/>
        <v>5.2309999999999999</v>
      </c>
      <c r="C27" s="836">
        <f>B27/B8</f>
        <v>2.9315175969513562E-2</v>
      </c>
    </row>
    <row r="28" spans="1:3" x14ac:dyDescent="0.3">
      <c r="A28" s="760" t="s">
        <v>405</v>
      </c>
      <c r="B28" s="776">
        <f t="shared" si="0"/>
        <v>5.0250000000000004</v>
      </c>
      <c r="C28" s="837">
        <f>B28/B8</f>
        <v>2.8160726294552792E-2</v>
      </c>
    </row>
    <row r="29" spans="1:3" x14ac:dyDescent="0.3">
      <c r="A29" s="760" t="s">
        <v>409</v>
      </c>
      <c r="B29" s="776">
        <f t="shared" si="0"/>
        <v>5.0060000000000002</v>
      </c>
      <c r="C29" s="837">
        <f>B29/B8</f>
        <v>2.8054247926473888E-2</v>
      </c>
    </row>
    <row r="30" spans="1:3" ht="17.399999999999999" customHeight="1" x14ac:dyDescent="0.3">
      <c r="A30" s="760" t="s">
        <v>414</v>
      </c>
      <c r="B30" s="776">
        <f t="shared" si="0"/>
        <v>3.6360000000000001</v>
      </c>
      <c r="C30" s="838">
        <f>B30/B8</f>
        <v>2.0376597175521184E-2</v>
      </c>
    </row>
    <row r="31" spans="1:3" ht="15" thickBot="1" x14ac:dyDescent="0.35">
      <c r="A31" s="760" t="s">
        <v>88</v>
      </c>
      <c r="B31" s="776">
        <f>V111/1000</f>
        <v>38.701999999999998</v>
      </c>
      <c r="C31" s="836">
        <f>B31/B8</f>
        <v>0.21689083165209594</v>
      </c>
    </row>
    <row r="32" spans="1:3" ht="15" thickBot="1" x14ac:dyDescent="0.35">
      <c r="A32" s="826" t="s">
        <v>193</v>
      </c>
      <c r="B32" s="842">
        <f>SUM(B18:B31)</f>
        <v>178.44</v>
      </c>
      <c r="C32" s="841">
        <f>SUM(C18:C31)</f>
        <v>1</v>
      </c>
    </row>
    <row r="33" spans="1:29" x14ac:dyDescent="0.3">
      <c r="B33" s="19"/>
    </row>
    <row r="34" spans="1:29" ht="18" x14ac:dyDescent="0.35">
      <c r="A34" s="95" t="s">
        <v>716</v>
      </c>
      <c r="B34" s="83"/>
      <c r="C34" s="6"/>
    </row>
    <row r="35" spans="1:29" s="324" customFormat="1" ht="31.2" customHeight="1" x14ac:dyDescent="0.3">
      <c r="A35" s="975" t="s">
        <v>938</v>
      </c>
      <c r="B35" s="975"/>
      <c r="C35" s="975"/>
      <c r="D35" s="975"/>
      <c r="E35" s="975"/>
      <c r="F35" s="975"/>
      <c r="G35" s="975"/>
      <c r="H35" s="975"/>
      <c r="I35" s="975"/>
    </row>
    <row r="36" spans="1:29" s="6" customFormat="1" ht="20.399999999999999" customHeight="1" thickBot="1" x14ac:dyDescent="0.35">
      <c r="A36" s="6" t="s">
        <v>704</v>
      </c>
    </row>
    <row r="37" spans="1:29" s="44" customFormat="1" ht="45.6" customHeight="1" thickBot="1" x14ac:dyDescent="0.35">
      <c r="A37" s="634" t="s">
        <v>703</v>
      </c>
      <c r="B37" s="486" t="s">
        <v>705</v>
      </c>
      <c r="C37" s="486" t="s">
        <v>706</v>
      </c>
      <c r="D37" s="486" t="s">
        <v>701</v>
      </c>
      <c r="E37" s="487" t="s">
        <v>707</v>
      </c>
      <c r="F37" s="801" t="s">
        <v>753</v>
      </c>
      <c r="G37" s="811" t="s">
        <v>931</v>
      </c>
      <c r="H37" s="812" t="s">
        <v>932</v>
      </c>
    </row>
    <row r="38" spans="1:29" x14ac:dyDescent="0.3">
      <c r="A38" s="760" t="s">
        <v>926</v>
      </c>
      <c r="B38" s="136">
        <f t="shared" ref="B38:B50" si="1">SUM(C67:E67)/3</f>
        <v>37.683919735829896</v>
      </c>
      <c r="C38" s="151">
        <f t="shared" ref="C38:C50" si="2">SUM(T67:V67)/3</f>
        <v>49.48877026130787</v>
      </c>
      <c r="D38" s="139">
        <f>(C38-B38)</f>
        <v>11.804850525477974</v>
      </c>
      <c r="E38" s="798">
        <f>D38/B38</f>
        <v>0.31325962395185536</v>
      </c>
      <c r="F38" s="827">
        <f>((C38/B38)^(1/17))-1</f>
        <v>1.6159307752547036E-2</v>
      </c>
      <c r="G38" s="832">
        <f t="shared" ref="G38:G50" si="3">W67</f>
        <v>0.30771127549876709</v>
      </c>
      <c r="H38" s="809" t="s">
        <v>929</v>
      </c>
      <c r="I38" s="44"/>
      <c r="J38" s="497"/>
      <c r="K38" s="44"/>
      <c r="L38" s="116"/>
      <c r="M38" s="44"/>
      <c r="N38" s="114"/>
      <c r="O38" s="44"/>
      <c r="P38" s="44"/>
      <c r="Q38" s="114"/>
    </row>
    <row r="39" spans="1:29" x14ac:dyDescent="0.3">
      <c r="A39" s="760" t="s">
        <v>397</v>
      </c>
      <c r="B39" s="136">
        <f t="shared" si="1"/>
        <v>2.2099065566864504</v>
      </c>
      <c r="C39" s="151">
        <f t="shared" si="2"/>
        <v>15.980805058142105</v>
      </c>
      <c r="D39" s="139">
        <f>(C39-B39)</f>
        <v>13.770898501455655</v>
      </c>
      <c r="E39" s="798">
        <f>D39/B39</f>
        <v>6.2314392704928832</v>
      </c>
      <c r="F39" s="827">
        <f>((C39/B39)^(1/17))-1</f>
        <v>0.12342124347071404</v>
      </c>
      <c r="G39" s="832">
        <f t="shared" si="3"/>
        <v>0.10373795113203318</v>
      </c>
      <c r="H39" s="809" t="s">
        <v>967</v>
      </c>
      <c r="K39" s="465">
        <f>8/20</f>
        <v>0.4</v>
      </c>
      <c r="L39" s="9"/>
      <c r="N39" s="11"/>
      <c r="Q39" s="11"/>
    </row>
    <row r="40" spans="1:29" x14ac:dyDescent="0.3">
      <c r="A40" s="760" t="s">
        <v>398</v>
      </c>
      <c r="B40" s="136">
        <f t="shared" si="1"/>
        <v>3.6314750218745782</v>
      </c>
      <c r="C40" s="151">
        <f t="shared" si="2"/>
        <v>7.2368633771057169</v>
      </c>
      <c r="D40" s="139">
        <f>(C40-B40)</f>
        <v>3.6053883552311388</v>
      </c>
      <c r="E40" s="798">
        <f>D40/B40</f>
        <v>0.99281650941110611</v>
      </c>
      <c r="F40" s="827">
        <f>((C40/B40)^(1/17))-1</f>
        <v>4.1395566081587898E-2</v>
      </c>
      <c r="G40" s="832">
        <f t="shared" si="3"/>
        <v>4.6704774714189642E-2</v>
      </c>
      <c r="H40" s="809" t="s">
        <v>929</v>
      </c>
      <c r="L40" s="9"/>
      <c r="N40" s="11"/>
      <c r="Q40" s="11"/>
    </row>
    <row r="41" spans="1:29" s="48" customFormat="1" x14ac:dyDescent="0.3">
      <c r="A41" s="760" t="s">
        <v>389</v>
      </c>
      <c r="B41" s="792">
        <f t="shared" si="1"/>
        <v>4.2840700762264525</v>
      </c>
      <c r="C41" s="793">
        <f t="shared" si="2"/>
        <v>7.5044180925852233</v>
      </c>
      <c r="D41" s="794">
        <f>(C41-B41)</f>
        <v>3.2203480163587708</v>
      </c>
      <c r="E41" s="799">
        <f>D41/B41</f>
        <v>0.75170292713684028</v>
      </c>
      <c r="F41" s="828">
        <f>((C41/B41)^(1/17))-1</f>
        <v>3.3525516434528724E-2</v>
      </c>
      <c r="G41" s="832">
        <f t="shared" si="3"/>
        <v>4.0882089217664203E-2</v>
      </c>
      <c r="H41" s="810" t="s">
        <v>930</v>
      </c>
      <c r="I41" s="465"/>
      <c r="J41" s="465"/>
      <c r="K41" s="465"/>
      <c r="L41" s="9"/>
      <c r="M41" s="465"/>
      <c r="N41" s="11"/>
      <c r="O41" s="465"/>
      <c r="P41" s="465"/>
      <c r="Q41" s="11"/>
      <c r="R41" s="58"/>
      <c r="Y41" s="59"/>
    </row>
    <row r="42" spans="1:29" ht="15" thickBot="1" x14ac:dyDescent="0.35">
      <c r="A42" s="760" t="s">
        <v>401</v>
      </c>
      <c r="B42" s="488">
        <f t="shared" si="1"/>
        <v>5.1507107499294547</v>
      </c>
      <c r="C42" s="489">
        <f t="shared" si="2"/>
        <v>5.8721625326082147</v>
      </c>
      <c r="D42" s="479">
        <f>(C42-B42)</f>
        <v>0.72145178267876009</v>
      </c>
      <c r="E42" s="800">
        <f>D42/B42</f>
        <v>0.14006839399565221</v>
      </c>
      <c r="F42" s="829">
        <f>((C42/B42)^(1/17))-1</f>
        <v>7.7408807385617173E-3</v>
      </c>
      <c r="G42" s="832">
        <f t="shared" si="3"/>
        <v>3.9273705447209144E-2</v>
      </c>
      <c r="H42" s="810" t="s">
        <v>929</v>
      </c>
      <c r="I42" s="465">
        <v>5</v>
      </c>
      <c r="V42" s="10"/>
      <c r="AC42" s="22"/>
    </row>
    <row r="43" spans="1:29" x14ac:dyDescent="0.3">
      <c r="A43" s="760" t="s">
        <v>927</v>
      </c>
      <c r="B43" s="136">
        <f t="shared" si="1"/>
        <v>2.0941932306410371</v>
      </c>
      <c r="C43" s="151">
        <f t="shared" si="2"/>
        <v>6.8599515850908617</v>
      </c>
      <c r="D43" s="139">
        <f t="shared" ref="D43:D62" si="4">(C43-B43)</f>
        <v>4.7657583544498241</v>
      </c>
      <c r="E43" s="798">
        <f t="shared" ref="E43:E62" si="5">D43/B43</f>
        <v>2.2757013463323128</v>
      </c>
      <c r="F43" s="827">
        <f t="shared" ref="F43:F62" si="6">((C43/B43)^(1/17))-1</f>
        <v>7.2289411756149224E-2</v>
      </c>
      <c r="G43" s="832">
        <f t="shared" si="3"/>
        <v>3.8427482627213627E-2</v>
      </c>
      <c r="H43" s="810" t="s">
        <v>929</v>
      </c>
      <c r="I43" s="465">
        <v>70</v>
      </c>
      <c r="V43" s="10"/>
      <c r="AC43" s="22"/>
    </row>
    <row r="44" spans="1:29" x14ac:dyDescent="0.3">
      <c r="A44" s="760" t="s">
        <v>406</v>
      </c>
      <c r="B44" s="136">
        <f t="shared" si="1"/>
        <v>1.5754763341947173</v>
      </c>
      <c r="C44" s="151">
        <f t="shared" si="2"/>
        <v>5.492217049122341</v>
      </c>
      <c r="D44" s="139">
        <f t="shared" si="4"/>
        <v>3.9167407149276237</v>
      </c>
      <c r="E44" s="798">
        <f t="shared" si="5"/>
        <v>2.4860676291463375</v>
      </c>
      <c r="F44" s="827">
        <f t="shared" si="6"/>
        <v>7.6222596631251749E-2</v>
      </c>
      <c r="G44" s="832">
        <f t="shared" si="3"/>
        <v>3.5513337816633038E-2</v>
      </c>
      <c r="H44" s="810" t="s">
        <v>964</v>
      </c>
      <c r="I44" s="565">
        <f>I42/I43</f>
        <v>7.1428571428571425E-2</v>
      </c>
      <c r="V44" s="10"/>
      <c r="AC44" s="22"/>
    </row>
    <row r="45" spans="1:29" x14ac:dyDescent="0.3">
      <c r="A45" s="760" t="s">
        <v>393</v>
      </c>
      <c r="B45" s="136">
        <f t="shared" si="1"/>
        <v>3.8484694749575872</v>
      </c>
      <c r="C45" s="151">
        <f t="shared" si="2"/>
        <v>5.2617466065349072</v>
      </c>
      <c r="D45" s="139">
        <f t="shared" si="4"/>
        <v>1.41327713157732</v>
      </c>
      <c r="E45" s="798">
        <f t="shared" si="5"/>
        <v>0.36723095785835624</v>
      </c>
      <c r="F45" s="828">
        <f t="shared" si="6"/>
        <v>1.8569573845188314E-2</v>
      </c>
      <c r="G45" s="832">
        <f t="shared" si="3"/>
        <v>3.4056265411342747E-2</v>
      </c>
      <c r="H45" s="810" t="s">
        <v>929</v>
      </c>
      <c r="V45" s="10"/>
      <c r="AC45" s="22"/>
    </row>
    <row r="46" spans="1:29" ht="15" thickBot="1" x14ac:dyDescent="0.35">
      <c r="A46" s="760" t="s">
        <v>399</v>
      </c>
      <c r="B46" s="792">
        <f t="shared" si="1"/>
        <v>2.5568643677265679</v>
      </c>
      <c r="C46" s="793">
        <f t="shared" si="2"/>
        <v>4.2747908210638021</v>
      </c>
      <c r="D46" s="794">
        <f t="shared" si="4"/>
        <v>1.7179264533372343</v>
      </c>
      <c r="E46" s="799">
        <f t="shared" si="5"/>
        <v>0.67188798710692899</v>
      </c>
      <c r="F46" s="829">
        <f t="shared" si="6"/>
        <v>3.0694204270808711E-2</v>
      </c>
      <c r="G46" s="832">
        <f t="shared" si="3"/>
        <v>3.0895539116789959E-2</v>
      </c>
      <c r="H46" s="810" t="s">
        <v>929</v>
      </c>
      <c r="V46" s="10"/>
      <c r="AC46" s="22"/>
    </row>
    <row r="47" spans="1:29" ht="15" thickBot="1" x14ac:dyDescent="0.35">
      <c r="A47" s="760" t="s">
        <v>390</v>
      </c>
      <c r="B47" s="488">
        <f t="shared" si="1"/>
        <v>2.0858392590181829</v>
      </c>
      <c r="C47" s="489">
        <f t="shared" si="2"/>
        <v>5.0464478489631697</v>
      </c>
      <c r="D47" s="479">
        <f t="shared" si="4"/>
        <v>2.9606085899449868</v>
      </c>
      <c r="E47" s="800">
        <f t="shared" si="5"/>
        <v>1.4193848241875373</v>
      </c>
      <c r="F47" s="827">
        <f t="shared" si="6"/>
        <v>5.3345585601323187E-2</v>
      </c>
      <c r="G47" s="832">
        <f t="shared" si="3"/>
        <v>2.9315175969513559E-2</v>
      </c>
      <c r="H47" s="810" t="s">
        <v>961</v>
      </c>
      <c r="V47" s="10"/>
      <c r="AC47" s="22"/>
    </row>
    <row r="48" spans="1:29" x14ac:dyDescent="0.3">
      <c r="A48" s="760" t="s">
        <v>405</v>
      </c>
      <c r="B48" s="136">
        <f t="shared" si="1"/>
        <v>2.2431151253395538</v>
      </c>
      <c r="C48" s="151">
        <f t="shared" si="2"/>
        <v>4.7889285935358359</v>
      </c>
      <c r="D48" s="139">
        <f t="shared" si="4"/>
        <v>2.5458134681962821</v>
      </c>
      <c r="E48" s="798">
        <f t="shared" si="5"/>
        <v>1.1349455226070517</v>
      </c>
      <c r="F48" s="827">
        <f t="shared" si="6"/>
        <v>4.5624363590351935E-2</v>
      </c>
      <c r="G48" s="832">
        <f t="shared" si="3"/>
        <v>2.8160726294552792E-2</v>
      </c>
      <c r="H48" s="810" t="s">
        <v>929</v>
      </c>
      <c r="V48" s="10"/>
      <c r="AC48" s="22"/>
    </row>
    <row r="49" spans="1:29" x14ac:dyDescent="0.3">
      <c r="A49" s="760" t="s">
        <v>409</v>
      </c>
      <c r="B49" s="136">
        <f t="shared" si="1"/>
        <v>3.1819312277487399</v>
      </c>
      <c r="C49" s="151">
        <f t="shared" si="2"/>
        <v>4.516381394526241</v>
      </c>
      <c r="D49" s="139">
        <f t="shared" si="4"/>
        <v>1.3344501667775011</v>
      </c>
      <c r="E49" s="798">
        <f t="shared" si="5"/>
        <v>0.41938372367703336</v>
      </c>
      <c r="F49" s="828">
        <f t="shared" si="6"/>
        <v>2.0815012394855614E-2</v>
      </c>
      <c r="G49" s="832">
        <f t="shared" si="3"/>
        <v>2.8054247926473885E-2</v>
      </c>
      <c r="H49" s="810" t="s">
        <v>929</v>
      </c>
      <c r="V49" s="10"/>
      <c r="AC49" s="22"/>
    </row>
    <row r="50" spans="1:29" ht="15" thickBot="1" x14ac:dyDescent="0.35">
      <c r="A50" s="760" t="s">
        <v>414</v>
      </c>
      <c r="B50" s="792">
        <f t="shared" si="1"/>
        <v>2.8967962513263052</v>
      </c>
      <c r="C50" s="793">
        <f t="shared" si="2"/>
        <v>3.250856125922978</v>
      </c>
      <c r="D50" s="794">
        <f t="shared" si="4"/>
        <v>0.35405987459667276</v>
      </c>
      <c r="E50" s="799">
        <f t="shared" si="5"/>
        <v>0.12222463848969894</v>
      </c>
      <c r="F50" s="828">
        <f t="shared" si="6"/>
        <v>6.8061750712695712E-3</v>
      </c>
      <c r="G50" s="832">
        <f t="shared" si="3"/>
        <v>2.0376597175521184E-2</v>
      </c>
      <c r="H50" s="810" t="s">
        <v>930</v>
      </c>
      <c r="J50" s="465" t="s">
        <v>958</v>
      </c>
      <c r="K50" s="465" t="s">
        <v>960</v>
      </c>
      <c r="L50" s="899" t="s">
        <v>959</v>
      </c>
      <c r="V50" s="10"/>
      <c r="AC50" s="22"/>
    </row>
    <row r="51" spans="1:29" s="106" customFormat="1" ht="15" thickBot="1" x14ac:dyDescent="0.35">
      <c r="A51" s="875" t="s">
        <v>928</v>
      </c>
      <c r="B51" s="891">
        <f t="shared" ref="B51:B61" si="7">SUM(C80:E80)/3</f>
        <v>64.176061824928581</v>
      </c>
      <c r="C51" s="890">
        <f t="shared" ref="C51:C54" si="8">SUM(T80:V80)/3</f>
        <v>109.77261727903789</v>
      </c>
      <c r="D51" s="880">
        <f t="shared" si="4"/>
        <v>45.596555454109307</v>
      </c>
      <c r="E51" s="883">
        <f t="shared" si="5"/>
        <v>0.71049164061353731</v>
      </c>
      <c r="F51" s="942">
        <f t="shared" si="6"/>
        <v>3.2079133049024433E-2</v>
      </c>
      <c r="G51" s="876">
        <f t="shared" ref="G51:G55" si="9">W80</f>
        <v>0.69253530598520507</v>
      </c>
      <c r="H51" s="872" t="s">
        <v>965</v>
      </c>
      <c r="J51" s="933">
        <f>B18+B19+B20+B22+B23+B24+B25+B26+B28+B29</f>
        <v>123.57600000000001</v>
      </c>
      <c r="K51" s="935">
        <f>L51/J51</f>
        <v>2.0512073541788051E-2</v>
      </c>
      <c r="L51" s="934">
        <f>B24*0.4</f>
        <v>2.5348000000000002</v>
      </c>
      <c r="V51" s="871"/>
      <c r="AC51" s="881"/>
    </row>
    <row r="52" spans="1:29" s="106" customFormat="1" ht="15" thickBot="1" x14ac:dyDescent="0.35">
      <c r="A52" s="108" t="s">
        <v>937</v>
      </c>
      <c r="B52" s="884">
        <f t="shared" si="7"/>
        <v>9.2667055865709411</v>
      </c>
      <c r="C52" s="870">
        <f t="shared" si="8"/>
        <v>15.801722067471369</v>
      </c>
      <c r="D52" s="879">
        <f t="shared" si="4"/>
        <v>6.5350164809004276</v>
      </c>
      <c r="E52" s="869">
        <f t="shared" si="5"/>
        <v>0.70521464395834443</v>
      </c>
      <c r="F52" s="943">
        <f t="shared" si="6"/>
        <v>3.1891563968181158E-2</v>
      </c>
      <c r="G52" s="938">
        <f t="shared" si="9"/>
        <v>9.0573862362698945E-2</v>
      </c>
      <c r="H52" s="939" t="s">
        <v>955</v>
      </c>
      <c r="V52" s="871"/>
      <c r="AC52" s="881"/>
    </row>
    <row r="53" spans="1:29" ht="15" thickBot="1" x14ac:dyDescent="0.35">
      <c r="A53" s="817" t="s">
        <v>933</v>
      </c>
      <c r="B53" s="825">
        <f>SUM(C82:E82)/3</f>
        <v>73.442767411499531</v>
      </c>
      <c r="C53" s="818">
        <f>SUM(T82:V82)/3</f>
        <v>125.57433934650926</v>
      </c>
      <c r="D53" s="819">
        <f t="shared" si="4"/>
        <v>52.131571935009731</v>
      </c>
      <c r="E53" s="820">
        <f t="shared" si="5"/>
        <v>0.70982581093270547</v>
      </c>
      <c r="F53" s="830">
        <f t="shared" si="6"/>
        <v>3.2055496403694095E-2</v>
      </c>
      <c r="G53" s="833">
        <f>G51+G52</f>
        <v>0.78310916834790401</v>
      </c>
      <c r="H53" s="834"/>
      <c r="V53" s="10"/>
      <c r="AC53" s="22"/>
    </row>
    <row r="54" spans="1:29" ht="15" thickBot="1" x14ac:dyDescent="0.35">
      <c r="A54" s="826" t="s">
        <v>88</v>
      </c>
      <c r="B54" s="821">
        <f t="shared" si="7"/>
        <v>22.277949181437993</v>
      </c>
      <c r="C54" s="822">
        <f t="shared" si="8"/>
        <v>37.222795198302158</v>
      </c>
      <c r="D54" s="823">
        <f t="shared" si="4"/>
        <v>14.944846016864165</v>
      </c>
      <c r="E54" s="824">
        <f t="shared" si="5"/>
        <v>0.67083580697437917</v>
      </c>
      <c r="F54" s="831">
        <f t="shared" si="6"/>
        <v>3.065603687878049E-2</v>
      </c>
      <c r="G54" s="832">
        <f t="shared" si="9"/>
        <v>0.21689083165209594</v>
      </c>
      <c r="H54" s="835"/>
      <c r="V54" s="10"/>
      <c r="AC54" s="22"/>
    </row>
    <row r="55" spans="1:29" ht="15" thickBot="1" x14ac:dyDescent="0.35">
      <c r="A55" s="873" t="s">
        <v>934</v>
      </c>
      <c r="B55" s="911">
        <f t="shared" si="7"/>
        <v>95.720716592937535</v>
      </c>
      <c r="C55" s="911">
        <f>SUM(T84:V84)/3</f>
        <v>162.79713454481143</v>
      </c>
      <c r="D55" s="911">
        <f t="shared" si="4"/>
        <v>67.076417951873893</v>
      </c>
      <c r="E55" s="912">
        <f t="shared" si="5"/>
        <v>0.70075131423350545</v>
      </c>
      <c r="F55" s="944">
        <f t="shared" si="6"/>
        <v>3.1732489464868285E-2</v>
      </c>
      <c r="G55" s="940">
        <f t="shared" si="9"/>
        <v>1</v>
      </c>
      <c r="H55" s="885"/>
      <c r="V55" s="10"/>
      <c r="AC55" s="22"/>
    </row>
    <row r="56" spans="1:29" ht="15" thickBot="1" x14ac:dyDescent="0.35">
      <c r="A56" s="900" t="s">
        <v>90</v>
      </c>
      <c r="B56" s="918">
        <f t="shared" si="7"/>
        <v>29.073733244815088</v>
      </c>
      <c r="C56" s="919">
        <f>SUM(T85:V85)/3</f>
        <v>33.906883185214667</v>
      </c>
      <c r="D56" s="920">
        <f t="shared" si="4"/>
        <v>4.8331499403995792</v>
      </c>
      <c r="E56" s="921">
        <f t="shared" si="5"/>
        <v>0.16623767920349572</v>
      </c>
      <c r="F56" s="930">
        <f t="shared" si="6"/>
        <v>9.0870926468153979E-3</v>
      </c>
      <c r="G56" s="832">
        <f>W85</f>
        <v>0.21204801087038574</v>
      </c>
      <c r="H56" s="936" t="s">
        <v>957</v>
      </c>
      <c r="V56" s="10"/>
      <c r="AC56" s="22"/>
    </row>
    <row r="57" spans="1:29" s="899" customFormat="1" ht="15" thickBot="1" x14ac:dyDescent="0.35">
      <c r="A57" s="900" t="s">
        <v>375</v>
      </c>
      <c r="B57" s="922">
        <f t="shared" si="7"/>
        <v>19.1630241901461</v>
      </c>
      <c r="C57" s="923">
        <f>SUM(T86:V86)/3</f>
        <v>21.542723968696112</v>
      </c>
      <c r="D57" s="924">
        <f t="shared" si="4"/>
        <v>2.3796997785500125</v>
      </c>
      <c r="E57" s="925">
        <f t="shared" si="5"/>
        <v>0.12418184911407083</v>
      </c>
      <c r="F57" s="931">
        <f t="shared" si="6"/>
        <v>6.9093795471744102E-3</v>
      </c>
      <c r="G57" s="832">
        <f t="shared" ref="G57:G61" si="10">W86</f>
        <v>0.15380550603619977</v>
      </c>
      <c r="H57" s="639" t="s">
        <v>957</v>
      </c>
      <c r="V57" s="10"/>
      <c r="AC57" s="22"/>
    </row>
    <row r="58" spans="1:29" s="899" customFormat="1" ht="15" thickBot="1" x14ac:dyDescent="0.35">
      <c r="A58" s="900" t="s">
        <v>91</v>
      </c>
      <c r="B58" s="926">
        <f t="shared" si="7"/>
        <v>23.962219451390837</v>
      </c>
      <c r="C58" s="927">
        <f t="shared" ref="C58:C61" si="11">SUM(T87:V87)/3</f>
        <v>21.769847636733431</v>
      </c>
      <c r="D58" s="920">
        <f t="shared" si="4"/>
        <v>-2.192371814657406</v>
      </c>
      <c r="E58" s="928">
        <f t="shared" si="5"/>
        <v>-9.1492852701094612E-2</v>
      </c>
      <c r="F58" s="913">
        <f t="shared" si="6"/>
        <v>-5.6283671763435184E-3</v>
      </c>
      <c r="G58" s="832">
        <f t="shared" si="10"/>
        <v>0.14216861872934947</v>
      </c>
      <c r="H58" s="639" t="s">
        <v>957</v>
      </c>
      <c r="V58" s="10"/>
      <c r="AC58" s="22"/>
    </row>
    <row r="59" spans="1:29" s="899" customFormat="1" ht="15" thickBot="1" x14ac:dyDescent="0.35">
      <c r="A59" s="900" t="s">
        <v>889</v>
      </c>
      <c r="B59" s="918">
        <f t="shared" si="7"/>
        <v>17.32942598202251</v>
      </c>
      <c r="C59" s="923">
        <f t="shared" si="11"/>
        <v>19.02040580094619</v>
      </c>
      <c r="D59" s="929">
        <f t="shared" si="4"/>
        <v>1.6909798189236795</v>
      </c>
      <c r="E59" s="914">
        <f t="shared" si="5"/>
        <v>9.7578524567282054E-2</v>
      </c>
      <c r="F59" s="915">
        <f t="shared" si="6"/>
        <v>5.4918731127293618E-3</v>
      </c>
      <c r="G59" s="832">
        <f t="shared" si="10"/>
        <v>0.12897550098425767</v>
      </c>
      <c r="H59" s="639" t="s">
        <v>957</v>
      </c>
      <c r="V59" s="10"/>
      <c r="AC59" s="22"/>
    </row>
    <row r="60" spans="1:29" s="899" customFormat="1" ht="15" thickBot="1" x14ac:dyDescent="0.35">
      <c r="A60" s="900" t="s">
        <v>374</v>
      </c>
      <c r="B60" s="922">
        <f t="shared" si="7"/>
        <v>10.90641788216997</v>
      </c>
      <c r="C60" s="927">
        <f>SUM(T89:V89)/3</f>
        <v>9.8265571030640668</v>
      </c>
      <c r="D60" s="916">
        <f t="shared" si="4"/>
        <v>-1.0798607791059034</v>
      </c>
      <c r="E60" s="921">
        <f t="shared" si="5"/>
        <v>-9.9011498621493443E-2</v>
      </c>
      <c r="F60" s="917">
        <f t="shared" si="6"/>
        <v>-6.1143358156294791E-3</v>
      </c>
      <c r="G60" s="832">
        <f t="shared" si="10"/>
        <v>6.2133080929789614E-2</v>
      </c>
      <c r="H60" s="639" t="s">
        <v>957</v>
      </c>
      <c r="V60" s="10"/>
      <c r="AC60" s="22"/>
    </row>
    <row r="61" spans="1:29" s="899" customFormat="1" x14ac:dyDescent="0.3">
      <c r="A61" s="900" t="s">
        <v>93</v>
      </c>
      <c r="B61" s="926">
        <f t="shared" si="7"/>
        <v>10.708894384190836</v>
      </c>
      <c r="C61" s="927">
        <f t="shared" si="11"/>
        <v>9.6408338418004149</v>
      </c>
      <c r="D61" s="920">
        <f t="shared" si="4"/>
        <v>-1.0680605423904215</v>
      </c>
      <c r="E61" s="925">
        <f t="shared" si="5"/>
        <v>-9.9735836779486928E-2</v>
      </c>
      <c r="F61" s="913">
        <f t="shared" si="6"/>
        <v>-6.1613548795886874E-3</v>
      </c>
      <c r="G61" s="832">
        <f t="shared" si="10"/>
        <v>6.0321349971836864E-2</v>
      </c>
      <c r="H61" s="639" t="s">
        <v>957</v>
      </c>
      <c r="V61" s="10"/>
      <c r="AC61" s="22"/>
    </row>
    <row r="62" spans="1:29" s="899" customFormat="1" ht="15" thickBot="1" x14ac:dyDescent="0.35">
      <c r="A62" s="873" t="s">
        <v>954</v>
      </c>
      <c r="B62" s="911">
        <f>'2. Trade in Goods'!B91</f>
        <v>145.1163246474801</v>
      </c>
      <c r="C62" s="911">
        <f>'2. Trade in Goods'!C91</f>
        <v>152.95713733032676</v>
      </c>
      <c r="D62" s="911">
        <f t="shared" si="4"/>
        <v>7.8408126828466607</v>
      </c>
      <c r="E62" s="912">
        <f t="shared" si="5"/>
        <v>5.4031224274000478E-2</v>
      </c>
      <c r="F62" s="945">
        <f t="shared" si="6"/>
        <v>3.1002118786171984E-3</v>
      </c>
      <c r="G62" s="889"/>
      <c r="H62" s="937" t="s">
        <v>957</v>
      </c>
      <c r="V62" s="10"/>
      <c r="AC62" s="22"/>
    </row>
    <row r="63" spans="1:29" s="899" customFormat="1" x14ac:dyDescent="0.3">
      <c r="A63" s="392"/>
      <c r="B63" s="119"/>
      <c r="C63" s="805"/>
      <c r="D63" s="464"/>
      <c r="E63" s="115"/>
      <c r="F63" s="806"/>
      <c r="G63" s="806"/>
      <c r="H63" s="844"/>
      <c r="V63" s="10"/>
      <c r="AC63" s="22"/>
    </row>
    <row r="64" spans="1:29" x14ac:dyDescent="0.3">
      <c r="A64" s="4"/>
      <c r="C64" s="807"/>
    </row>
    <row r="65" spans="1:80" ht="15" thickBot="1" x14ac:dyDescent="0.35">
      <c r="A65" s="4" t="s">
        <v>922</v>
      </c>
      <c r="C65" s="80"/>
    </row>
    <row r="66" spans="1:80" s="106" customFormat="1" ht="27" x14ac:dyDescent="0.3">
      <c r="A66" s="378" t="s">
        <v>952</v>
      </c>
      <c r="B66" s="622" t="s">
        <v>0</v>
      </c>
      <c r="C66" s="379">
        <v>1999</v>
      </c>
      <c r="D66" s="379" t="s">
        <v>2</v>
      </c>
      <c r="E66" s="379" t="s">
        <v>3</v>
      </c>
      <c r="F66" s="379" t="s">
        <v>4</v>
      </c>
      <c r="G66" s="379" t="s">
        <v>5</v>
      </c>
      <c r="H66" s="379" t="s">
        <v>6</v>
      </c>
      <c r="I66" s="379" t="s">
        <v>7</v>
      </c>
      <c r="J66" s="379" t="s">
        <v>8</v>
      </c>
      <c r="K66" s="379" t="s">
        <v>9</v>
      </c>
      <c r="L66" s="379" t="s">
        <v>10</v>
      </c>
      <c r="M66" s="379" t="s">
        <v>11</v>
      </c>
      <c r="N66" s="379" t="s">
        <v>12</v>
      </c>
      <c r="O66" s="379" t="s">
        <v>13</v>
      </c>
      <c r="P66" s="379" t="s">
        <v>14</v>
      </c>
      <c r="Q66" s="379" t="s">
        <v>15</v>
      </c>
      <c r="R66" s="379" t="s">
        <v>16</v>
      </c>
      <c r="S66" s="379" t="s">
        <v>17</v>
      </c>
      <c r="T66" s="379" t="s">
        <v>18</v>
      </c>
      <c r="U66" s="382">
        <v>2017</v>
      </c>
      <c r="V66" s="379">
        <v>2018</v>
      </c>
      <c r="W66" s="908" t="s">
        <v>963</v>
      </c>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2"/>
      <c r="AY66" s="392"/>
      <c r="AZ66" s="392"/>
      <c r="BA66" s="392"/>
      <c r="BB66" s="392"/>
      <c r="BC66" s="392"/>
      <c r="BD66" s="392"/>
      <c r="BE66" s="392"/>
      <c r="BF66" s="392"/>
      <c r="BG66" s="392"/>
      <c r="BH66" s="392"/>
      <c r="BI66" s="392"/>
      <c r="BJ66" s="392"/>
      <c r="BK66" s="392"/>
      <c r="BL66" s="392"/>
      <c r="BM66" s="392"/>
      <c r="BN66" s="392"/>
      <c r="BO66" s="392"/>
      <c r="BP66" s="392"/>
      <c r="BQ66" s="392"/>
      <c r="BR66" s="392"/>
      <c r="BS66" s="392"/>
      <c r="BT66" s="392"/>
      <c r="BU66" s="392"/>
      <c r="BV66" s="392"/>
      <c r="BW66" s="392"/>
      <c r="BX66" s="392"/>
      <c r="BY66" s="392"/>
      <c r="BZ66" s="392"/>
      <c r="CA66" s="392"/>
      <c r="CB66" s="392"/>
    </row>
    <row r="67" spans="1:80" x14ac:dyDescent="0.3">
      <c r="A67" s="760" t="s">
        <v>926</v>
      </c>
      <c r="B67" s="383">
        <f t="shared" ref="B67:V67" si="12">(B94/1000)/B131</f>
        <v>30.775372124492552</v>
      </c>
      <c r="C67" s="383">
        <f t="shared" si="12"/>
        <v>34.076819407008088</v>
      </c>
      <c r="D67" s="383">
        <f t="shared" si="12"/>
        <v>39.765789473684215</v>
      </c>
      <c r="E67" s="383">
        <f t="shared" si="12"/>
        <v>39.209150326797385</v>
      </c>
      <c r="F67" s="383">
        <f t="shared" si="12"/>
        <v>37.855437665782489</v>
      </c>
      <c r="G67" s="383">
        <f t="shared" si="12"/>
        <v>37.659268929503924</v>
      </c>
      <c r="H67" s="383">
        <f t="shared" si="12"/>
        <v>37.364473684210523</v>
      </c>
      <c r="I67" s="383">
        <f t="shared" si="12"/>
        <v>40.190839694656489</v>
      </c>
      <c r="J67" s="383">
        <f t="shared" si="12"/>
        <v>40.119850187265925</v>
      </c>
      <c r="K67" s="383">
        <f t="shared" si="12"/>
        <v>41.232323232323232</v>
      </c>
      <c r="L67" s="383">
        <f t="shared" si="12"/>
        <v>40.742232451093209</v>
      </c>
      <c r="M67" s="383">
        <f t="shared" si="12"/>
        <v>37.823725055432369</v>
      </c>
      <c r="N67" s="383">
        <f t="shared" si="12"/>
        <v>39.951527924130666</v>
      </c>
      <c r="O67" s="383">
        <f t="shared" si="12"/>
        <v>40.324649298597194</v>
      </c>
      <c r="P67" s="383">
        <f t="shared" si="12"/>
        <v>40.947633434038266</v>
      </c>
      <c r="Q67" s="383">
        <f t="shared" si="12"/>
        <v>40.021674876847293</v>
      </c>
      <c r="R67" s="383">
        <f t="shared" si="12"/>
        <v>40.739350912778903</v>
      </c>
      <c r="S67" s="383">
        <f t="shared" si="12"/>
        <v>50.839872746553553</v>
      </c>
      <c r="T67" s="383">
        <f t="shared" si="12"/>
        <v>48.542999999999999</v>
      </c>
      <c r="U67" s="383">
        <f t="shared" si="12"/>
        <v>48.940952380952375</v>
      </c>
      <c r="V67" s="383">
        <f t="shared" si="12"/>
        <v>50.982358402971222</v>
      </c>
      <c r="W67" s="904">
        <f>V67/V84</f>
        <v>0.30771127549876709</v>
      </c>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2"/>
      <c r="AY67" s="392"/>
      <c r="AZ67" s="392"/>
      <c r="BA67" s="392"/>
      <c r="BB67" s="392"/>
      <c r="BC67" s="392"/>
      <c r="BD67" s="392"/>
      <c r="BE67" s="392"/>
      <c r="BF67" s="392"/>
      <c r="BG67" s="392"/>
      <c r="BH67" s="392"/>
      <c r="BI67" s="392"/>
      <c r="BJ67" s="392"/>
      <c r="BK67" s="392"/>
      <c r="BL67" s="392"/>
      <c r="BM67" s="392"/>
      <c r="BN67" s="392"/>
      <c r="BO67" s="392"/>
      <c r="BP67" s="392"/>
      <c r="BQ67" s="392"/>
      <c r="BR67" s="392"/>
      <c r="BS67" s="392"/>
      <c r="BT67" s="392"/>
      <c r="BU67" s="392"/>
      <c r="BV67" s="392"/>
      <c r="BW67" s="392"/>
      <c r="BX67" s="392"/>
      <c r="BY67" s="392"/>
      <c r="BZ67" s="392"/>
      <c r="CA67" s="392"/>
      <c r="CB67" s="392"/>
    </row>
    <row r="68" spans="1:80" x14ac:dyDescent="0.3">
      <c r="A68" s="760" t="s">
        <v>397</v>
      </c>
      <c r="B68" s="383">
        <f t="shared" ref="B68:V68" si="13">(B95/1000)/B131</f>
        <v>1.2584573748308523</v>
      </c>
      <c r="C68" s="383">
        <f t="shared" si="13"/>
        <v>1.8840970350404311</v>
      </c>
      <c r="D68" s="383">
        <f t="shared" si="13"/>
        <v>2.280263157894737</v>
      </c>
      <c r="E68" s="383">
        <f t="shared" si="13"/>
        <v>2.4653594771241827</v>
      </c>
      <c r="F68" s="383">
        <f t="shared" si="13"/>
        <v>2.114058355437666</v>
      </c>
      <c r="G68" s="383">
        <f t="shared" si="13"/>
        <v>2.7219321148825069</v>
      </c>
      <c r="H68" s="383">
        <f t="shared" si="13"/>
        <v>3.7552631578947371</v>
      </c>
      <c r="I68" s="383">
        <f t="shared" si="13"/>
        <v>3.9109414758269723</v>
      </c>
      <c r="J68" s="383">
        <f t="shared" si="13"/>
        <v>4.6816479400749067</v>
      </c>
      <c r="K68" s="383">
        <f t="shared" si="13"/>
        <v>6.1565656565656566</v>
      </c>
      <c r="L68" s="383">
        <f t="shared" si="13"/>
        <v>6.9654775604142687</v>
      </c>
      <c r="M68" s="383">
        <f t="shared" si="13"/>
        <v>6.2261640798226159</v>
      </c>
      <c r="N68" s="383">
        <f t="shared" si="13"/>
        <v>8.6996838777660699</v>
      </c>
      <c r="O68" s="383">
        <f t="shared" si="13"/>
        <v>10.557114228456914</v>
      </c>
      <c r="P68" s="383">
        <f t="shared" si="13"/>
        <v>11.62134944612286</v>
      </c>
      <c r="Q68" s="383">
        <f t="shared" si="13"/>
        <v>13.506403940886701</v>
      </c>
      <c r="R68" s="383">
        <f t="shared" si="13"/>
        <v>15.904665314401623</v>
      </c>
      <c r="S68" s="383">
        <f t="shared" si="13"/>
        <v>14.005302226935314</v>
      </c>
      <c r="T68" s="383">
        <f t="shared" si="13"/>
        <v>13.651999999999999</v>
      </c>
      <c r="U68" s="383">
        <f t="shared" si="13"/>
        <v>17.10285714285714</v>
      </c>
      <c r="V68" s="383">
        <f t="shared" si="13"/>
        <v>17.187558031569175</v>
      </c>
      <c r="W68" s="904">
        <f>V68/V84</f>
        <v>0.10373795113203318</v>
      </c>
      <c r="X68" s="392"/>
      <c r="Y68" s="392"/>
      <c r="Z68" s="392"/>
      <c r="AA68" s="392"/>
      <c r="AB68" s="392"/>
      <c r="AC68" s="392"/>
      <c r="AD68" s="392"/>
      <c r="AE68" s="392"/>
      <c r="AF68" s="392"/>
      <c r="AG68" s="392"/>
      <c r="AH68" s="392"/>
      <c r="AI68" s="392"/>
      <c r="AJ68" s="392"/>
      <c r="AK68" s="392"/>
      <c r="AL68" s="392"/>
      <c r="AM68" s="392"/>
      <c r="AN68" s="392"/>
      <c r="AO68" s="392"/>
      <c r="AP68" s="392"/>
      <c r="AQ68" s="392"/>
      <c r="AR68" s="392"/>
      <c r="AS68" s="392"/>
      <c r="AT68" s="392"/>
      <c r="AU68" s="392"/>
      <c r="AV68" s="392"/>
      <c r="AW68" s="392"/>
      <c r="AX68" s="392"/>
      <c r="AY68" s="392"/>
      <c r="AZ68" s="392"/>
      <c r="BA68" s="392"/>
      <c r="BB68" s="392"/>
      <c r="BC68" s="392"/>
      <c r="BD68" s="392"/>
      <c r="BE68" s="392"/>
      <c r="BF68" s="392"/>
      <c r="BG68" s="392"/>
      <c r="BH68" s="392"/>
      <c r="BI68" s="392"/>
      <c r="BJ68" s="392"/>
      <c r="BK68" s="392"/>
      <c r="BL68" s="392"/>
      <c r="BM68" s="392"/>
      <c r="BN68" s="392"/>
      <c r="BO68" s="392"/>
      <c r="BP68" s="392"/>
      <c r="BQ68" s="392"/>
      <c r="BR68" s="392"/>
      <c r="BS68" s="392"/>
      <c r="BT68" s="392"/>
      <c r="BU68" s="392"/>
      <c r="BV68" s="392"/>
      <c r="BW68" s="392"/>
      <c r="BX68" s="392"/>
      <c r="BY68" s="392"/>
      <c r="BZ68" s="392"/>
      <c r="CA68" s="392"/>
      <c r="CB68" s="392"/>
    </row>
    <row r="69" spans="1:80" x14ac:dyDescent="0.3">
      <c r="A69" s="760" t="s">
        <v>398</v>
      </c>
      <c r="B69" s="383">
        <f t="shared" ref="B69:V69" si="14">(B96/1000)/B131</f>
        <v>3.9999999999999996</v>
      </c>
      <c r="C69" s="383">
        <f t="shared" si="14"/>
        <v>3.4123989218328843</v>
      </c>
      <c r="D69" s="383">
        <f t="shared" si="14"/>
        <v>3.75</v>
      </c>
      <c r="E69" s="383">
        <f t="shared" si="14"/>
        <v>3.7320261437908497</v>
      </c>
      <c r="F69" s="383">
        <f t="shared" si="14"/>
        <v>3.4297082228116711</v>
      </c>
      <c r="G69" s="383">
        <f t="shared" si="14"/>
        <v>3.4765013054830289</v>
      </c>
      <c r="H69" s="383">
        <f t="shared" si="14"/>
        <v>3.685526315789474</v>
      </c>
      <c r="I69" s="383">
        <f t="shared" si="14"/>
        <v>4.047073791348601</v>
      </c>
      <c r="J69" s="383">
        <f t="shared" si="14"/>
        <v>3.6329588014981278</v>
      </c>
      <c r="K69" s="383">
        <f t="shared" si="14"/>
        <v>3.5189393939393936</v>
      </c>
      <c r="L69" s="383">
        <f t="shared" si="14"/>
        <v>4.1714614499424618</v>
      </c>
      <c r="M69" s="383">
        <f t="shared" si="14"/>
        <v>4.0997782705099777</v>
      </c>
      <c r="N69" s="383">
        <f t="shared" si="14"/>
        <v>4.6217070600632244</v>
      </c>
      <c r="O69" s="383">
        <f t="shared" si="14"/>
        <v>5.4559118236472948</v>
      </c>
      <c r="P69" s="383">
        <f t="shared" si="14"/>
        <v>5.3716012084592144</v>
      </c>
      <c r="Q69" s="383">
        <f t="shared" si="14"/>
        <v>5.4600985221674883</v>
      </c>
      <c r="R69" s="383">
        <f t="shared" si="14"/>
        <v>5.1886409736308314</v>
      </c>
      <c r="S69" s="383">
        <f t="shared" si="14"/>
        <v>6.4135737009544016</v>
      </c>
      <c r="T69" s="383">
        <f t="shared" si="14"/>
        <v>6.4409999999999998</v>
      </c>
      <c r="U69" s="383">
        <f t="shared" si="14"/>
        <v>7.5314285714285711</v>
      </c>
      <c r="V69" s="383">
        <f t="shared" si="14"/>
        <v>7.7381615598885798</v>
      </c>
      <c r="W69" s="904">
        <f>V69/V84</f>
        <v>4.6704774714189642E-2</v>
      </c>
      <c r="X69" s="392"/>
      <c r="Y69" s="392"/>
      <c r="Z69" s="392"/>
      <c r="AA69" s="392"/>
      <c r="AB69" s="392"/>
      <c r="AC69" s="392"/>
      <c r="AD69" s="392"/>
      <c r="AE69" s="392"/>
      <c r="AF69" s="392"/>
      <c r="AG69" s="392"/>
      <c r="AH69" s="392"/>
      <c r="AI69" s="392"/>
      <c r="AJ69" s="392"/>
      <c r="AK69" s="392"/>
      <c r="AL69" s="392"/>
      <c r="AM69" s="392"/>
      <c r="AN69" s="392"/>
      <c r="AO69" s="392"/>
      <c r="AP69" s="392"/>
      <c r="AQ69" s="392"/>
      <c r="AR69" s="392"/>
      <c r="AS69" s="392"/>
      <c r="AT69" s="392"/>
      <c r="AU69" s="392"/>
      <c r="AV69" s="392"/>
      <c r="AW69" s="392"/>
      <c r="AX69" s="392"/>
      <c r="AY69" s="392"/>
      <c r="AZ69" s="392"/>
      <c r="BA69" s="392"/>
      <c r="BB69" s="392"/>
      <c r="BC69" s="392"/>
      <c r="BD69" s="392"/>
      <c r="BE69" s="392"/>
      <c r="BF69" s="392"/>
      <c r="BG69" s="392"/>
      <c r="BH69" s="392"/>
      <c r="BI69" s="392"/>
      <c r="BJ69" s="392"/>
      <c r="BK69" s="392"/>
      <c r="BL69" s="392"/>
      <c r="BM69" s="392"/>
      <c r="BN69" s="392"/>
      <c r="BO69" s="392"/>
      <c r="BP69" s="392"/>
      <c r="BQ69" s="392"/>
      <c r="BR69" s="392"/>
      <c r="BS69" s="392"/>
      <c r="BT69" s="392"/>
      <c r="BU69" s="392"/>
      <c r="BV69" s="392"/>
      <c r="BW69" s="392"/>
      <c r="BX69" s="392"/>
      <c r="BY69" s="392"/>
      <c r="BZ69" s="392"/>
      <c r="CA69" s="392"/>
      <c r="CB69" s="392"/>
    </row>
    <row r="70" spans="1:80" x14ac:dyDescent="0.3">
      <c r="A70" s="760" t="s">
        <v>389</v>
      </c>
      <c r="B70" s="383">
        <f t="shared" ref="B70:V70" si="15">(B97/1000)/B131</f>
        <v>3.8362652232746948</v>
      </c>
      <c r="C70" s="383">
        <f t="shared" si="15"/>
        <v>3.6401617250673857</v>
      </c>
      <c r="D70" s="383">
        <f t="shared" si="15"/>
        <v>4.2434210526315788</v>
      </c>
      <c r="E70" s="383">
        <f t="shared" si="15"/>
        <v>4.9686274509803923</v>
      </c>
      <c r="F70" s="383">
        <f t="shared" si="15"/>
        <v>4.1724137931034484</v>
      </c>
      <c r="G70" s="383">
        <f t="shared" si="15"/>
        <v>3.6279373368146217</v>
      </c>
      <c r="H70" s="383">
        <f t="shared" si="15"/>
        <v>3.611842105263158</v>
      </c>
      <c r="I70" s="383">
        <f t="shared" si="15"/>
        <v>6.2315521628498729</v>
      </c>
      <c r="J70" s="383">
        <f t="shared" si="15"/>
        <v>4.9488139825218482</v>
      </c>
      <c r="K70" s="383">
        <f t="shared" si="15"/>
        <v>4.1742424242424239</v>
      </c>
      <c r="L70" s="383">
        <f t="shared" si="15"/>
        <v>4.7445339470655927</v>
      </c>
      <c r="M70" s="383">
        <f t="shared" si="15"/>
        <v>3.866962305986696</v>
      </c>
      <c r="N70" s="383">
        <f t="shared" si="15"/>
        <v>5.0358271865121171</v>
      </c>
      <c r="O70" s="383">
        <f t="shared" si="15"/>
        <v>4.9398797595190382</v>
      </c>
      <c r="P70" s="383">
        <f t="shared" si="15"/>
        <v>5.5458207452165151</v>
      </c>
      <c r="Q70" s="383">
        <f t="shared" si="15"/>
        <v>5.7586206896551726</v>
      </c>
      <c r="R70" s="383">
        <f t="shared" si="15"/>
        <v>6.1125760649087226</v>
      </c>
      <c r="S70" s="383">
        <f t="shared" si="15"/>
        <v>10.553552492046659</v>
      </c>
      <c r="T70" s="383">
        <f t="shared" si="15"/>
        <v>8.5960000000000001</v>
      </c>
      <c r="U70" s="383">
        <f t="shared" si="15"/>
        <v>7.1438095238095238</v>
      </c>
      <c r="V70" s="383">
        <f t="shared" si="15"/>
        <v>6.7734447539461469</v>
      </c>
      <c r="W70" s="904">
        <f>V70/V84</f>
        <v>4.0882089217664203E-2</v>
      </c>
      <c r="X70" s="392"/>
      <c r="Y70" s="392"/>
      <c r="Z70" s="392"/>
      <c r="AA70" s="392"/>
      <c r="AB70" s="392"/>
      <c r="AC70" s="392"/>
      <c r="AD70" s="392"/>
      <c r="AE70" s="392"/>
      <c r="AF70" s="392"/>
      <c r="AG70" s="392"/>
      <c r="AH70" s="392"/>
      <c r="AI70" s="392"/>
      <c r="AJ70" s="392"/>
      <c r="AK70" s="392"/>
      <c r="AL70" s="392"/>
      <c r="AM70" s="392"/>
      <c r="AN70" s="392"/>
      <c r="AO70" s="392"/>
      <c r="AP70" s="392"/>
      <c r="AQ70" s="392"/>
      <c r="AR70" s="392"/>
      <c r="AS70" s="392"/>
      <c r="AT70" s="392"/>
      <c r="AU70" s="392"/>
      <c r="AV70" s="392"/>
      <c r="AW70" s="392"/>
      <c r="AX70" s="392"/>
      <c r="AY70" s="392"/>
      <c r="AZ70" s="392"/>
      <c r="BA70" s="392"/>
      <c r="BB70" s="392"/>
      <c r="BC70" s="392"/>
      <c r="BD70" s="392"/>
      <c r="BE70" s="392"/>
      <c r="BF70" s="392"/>
      <c r="BG70" s="392"/>
      <c r="BH70" s="392"/>
      <c r="BI70" s="392"/>
      <c r="BJ70" s="392"/>
      <c r="BK70" s="392"/>
      <c r="BL70" s="392"/>
      <c r="BM70" s="392"/>
      <c r="BN70" s="392"/>
      <c r="BO70" s="392"/>
      <c r="BP70" s="392"/>
      <c r="BQ70" s="392"/>
      <c r="BR70" s="392"/>
      <c r="BS70" s="392"/>
      <c r="BT70" s="392"/>
      <c r="BU70" s="392"/>
      <c r="BV70" s="392"/>
      <c r="BW70" s="392"/>
      <c r="BX70" s="392"/>
      <c r="BY70" s="392"/>
      <c r="BZ70" s="392"/>
      <c r="CA70" s="392"/>
      <c r="CB70" s="392"/>
    </row>
    <row r="71" spans="1:80" x14ac:dyDescent="0.3">
      <c r="A71" s="760" t="s">
        <v>401</v>
      </c>
      <c r="B71" s="383">
        <f t="shared" ref="B71:V71" si="16">(B98/1000)/B131</f>
        <v>4.8714479025710418</v>
      </c>
      <c r="C71" s="383">
        <f t="shared" si="16"/>
        <v>4.888140161725067</v>
      </c>
      <c r="D71" s="383">
        <f t="shared" si="16"/>
        <v>5.2907894736842103</v>
      </c>
      <c r="E71" s="383">
        <f t="shared" si="16"/>
        <v>5.2732026143790849</v>
      </c>
      <c r="F71" s="383">
        <f t="shared" si="16"/>
        <v>5.1273209549071623</v>
      </c>
      <c r="G71" s="383">
        <f t="shared" si="16"/>
        <v>5.1827676240208884</v>
      </c>
      <c r="H71" s="383">
        <f t="shared" si="16"/>
        <v>5.4039473684210533</v>
      </c>
      <c r="I71" s="383">
        <f t="shared" si="16"/>
        <v>5.1755725190839694</v>
      </c>
      <c r="J71" s="383">
        <f t="shared" si="16"/>
        <v>5.2721598002496881</v>
      </c>
      <c r="K71" s="383">
        <f t="shared" si="16"/>
        <v>5.0871212121212119</v>
      </c>
      <c r="L71" s="383">
        <f t="shared" si="16"/>
        <v>4.4913693901035669</v>
      </c>
      <c r="M71" s="383">
        <f t="shared" si="16"/>
        <v>3.9656319290465629</v>
      </c>
      <c r="N71" s="383">
        <f t="shared" si="16"/>
        <v>4.566912539515279</v>
      </c>
      <c r="O71" s="383">
        <f t="shared" si="16"/>
        <v>4.7705410821643284</v>
      </c>
      <c r="P71" s="383">
        <f t="shared" si="16"/>
        <v>4.9768378650553879</v>
      </c>
      <c r="Q71" s="383">
        <f t="shared" si="16"/>
        <v>4.6758620689655181</v>
      </c>
      <c r="R71" s="383">
        <f t="shared" si="16"/>
        <v>4.6277890466531435</v>
      </c>
      <c r="S71" s="383">
        <f t="shared" si="16"/>
        <v>4.911983032873807</v>
      </c>
      <c r="T71" s="383">
        <f t="shared" si="16"/>
        <v>5.04</v>
      </c>
      <c r="U71" s="383">
        <f t="shared" si="16"/>
        <v>6.0695238095238091</v>
      </c>
      <c r="V71" s="383">
        <f t="shared" si="16"/>
        <v>6.506963788300836</v>
      </c>
      <c r="W71" s="904">
        <f>V71/V84</f>
        <v>3.9273705447209144E-2</v>
      </c>
      <c r="X71" s="392"/>
      <c r="Y71" s="392"/>
      <c r="Z71" s="392"/>
      <c r="AA71" s="392"/>
      <c r="AB71" s="392"/>
      <c r="AC71" s="392"/>
      <c r="AD71" s="392"/>
      <c r="AE71" s="392"/>
      <c r="AF71" s="392"/>
      <c r="AG71" s="392"/>
      <c r="AH71" s="392"/>
      <c r="AI71" s="392"/>
      <c r="AJ71" s="392"/>
      <c r="AK71" s="392"/>
      <c r="AL71" s="392"/>
      <c r="AM71" s="392"/>
      <c r="AN71" s="392"/>
      <c r="AO71" s="392"/>
      <c r="AP71" s="392"/>
      <c r="AQ71" s="392"/>
      <c r="AR71" s="392"/>
      <c r="AS71" s="392"/>
      <c r="AT71" s="392"/>
      <c r="AU71" s="392"/>
      <c r="AV71" s="392"/>
      <c r="AW71" s="392"/>
      <c r="AX71" s="392"/>
      <c r="AY71" s="392"/>
      <c r="AZ71" s="392"/>
      <c r="BA71" s="392"/>
      <c r="BB71" s="392"/>
      <c r="BC71" s="392"/>
      <c r="BD71" s="392"/>
      <c r="BE71" s="392"/>
      <c r="BF71" s="392"/>
      <c r="BG71" s="392"/>
      <c r="BH71" s="392"/>
      <c r="BI71" s="392"/>
      <c r="BJ71" s="392"/>
      <c r="BK71" s="392"/>
      <c r="BL71" s="392"/>
      <c r="BM71" s="392"/>
      <c r="BN71" s="392"/>
      <c r="BO71" s="392"/>
      <c r="BP71" s="392"/>
      <c r="BQ71" s="392"/>
      <c r="BR71" s="392"/>
      <c r="BS71" s="392"/>
      <c r="BT71" s="392"/>
      <c r="BU71" s="392"/>
      <c r="BV71" s="392"/>
      <c r="BW71" s="392"/>
      <c r="BX71" s="392"/>
      <c r="BY71" s="392"/>
      <c r="BZ71" s="392"/>
      <c r="CA71" s="392"/>
      <c r="CB71" s="392"/>
    </row>
    <row r="72" spans="1:80" x14ac:dyDescent="0.3">
      <c r="A72" s="760" t="s">
        <v>927</v>
      </c>
      <c r="B72" s="383">
        <f t="shared" ref="B72:V72" si="17">(B99/1000)/B131</f>
        <v>2.0473612990527736</v>
      </c>
      <c r="C72" s="383">
        <f t="shared" si="17"/>
        <v>2.0309973045822103</v>
      </c>
      <c r="D72" s="383">
        <f t="shared" si="17"/>
        <v>2.0921052631578947</v>
      </c>
      <c r="E72" s="383">
        <f t="shared" si="17"/>
        <v>2.1594771241830064</v>
      </c>
      <c r="F72" s="383">
        <f t="shared" si="17"/>
        <v>2.2307692307692308</v>
      </c>
      <c r="G72" s="383">
        <f t="shared" si="17"/>
        <v>2.8524804177545695</v>
      </c>
      <c r="H72" s="383">
        <f t="shared" si="17"/>
        <v>3.719736842105263</v>
      </c>
      <c r="I72" s="383">
        <f t="shared" si="17"/>
        <v>7.4669211195928762</v>
      </c>
      <c r="J72" s="383">
        <f t="shared" si="17"/>
        <v>4.774032459425718</v>
      </c>
      <c r="K72" s="383">
        <f t="shared" si="17"/>
        <v>3.5972222222222223</v>
      </c>
      <c r="L72" s="383">
        <f t="shared" si="17"/>
        <v>4.3993095512082849</v>
      </c>
      <c r="M72" s="383">
        <f t="shared" si="17"/>
        <v>4.028824833702882</v>
      </c>
      <c r="N72" s="383">
        <f t="shared" si="17"/>
        <v>4.2887249736564801</v>
      </c>
      <c r="O72" s="383">
        <f t="shared" si="17"/>
        <v>4.9699398797595187</v>
      </c>
      <c r="P72" s="383">
        <f t="shared" si="17"/>
        <v>5.4340382678751258</v>
      </c>
      <c r="Q72" s="383">
        <f t="shared" si="17"/>
        <v>6.1330049261083746</v>
      </c>
      <c r="R72" s="383">
        <f t="shared" si="17"/>
        <v>6.2302231237322516</v>
      </c>
      <c r="S72" s="383">
        <f t="shared" si="17"/>
        <v>6.7550371155885474</v>
      </c>
      <c r="T72" s="383">
        <f t="shared" si="17"/>
        <v>6.9349999999999996</v>
      </c>
      <c r="U72" s="383">
        <f t="shared" si="17"/>
        <v>7.2780952380952382</v>
      </c>
      <c r="V72" s="383">
        <f t="shared" si="17"/>
        <v>6.3667595171773446</v>
      </c>
      <c r="W72" s="904">
        <f>V72/V84</f>
        <v>3.8427482627213627E-2</v>
      </c>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2"/>
      <c r="AU72" s="392"/>
      <c r="AV72" s="392"/>
      <c r="AW72" s="392"/>
      <c r="AX72" s="392"/>
      <c r="AY72" s="392"/>
      <c r="AZ72" s="392"/>
      <c r="BA72" s="392"/>
      <c r="BB72" s="392"/>
      <c r="BC72" s="392"/>
      <c r="BD72" s="392"/>
      <c r="BE72" s="392"/>
      <c r="BF72" s="392"/>
      <c r="BG72" s="392"/>
      <c r="BH72" s="392"/>
      <c r="BI72" s="392"/>
      <c r="BJ72" s="392"/>
      <c r="BK72" s="392"/>
      <c r="BL72" s="392"/>
      <c r="BM72" s="392"/>
      <c r="BN72" s="392"/>
      <c r="BO72" s="392"/>
      <c r="BP72" s="392"/>
      <c r="BQ72" s="392"/>
      <c r="BR72" s="392"/>
      <c r="BS72" s="392"/>
      <c r="BT72" s="392"/>
      <c r="BU72" s="392"/>
      <c r="BV72" s="392"/>
      <c r="BW72" s="392"/>
      <c r="BX72" s="392"/>
      <c r="BY72" s="392"/>
      <c r="BZ72" s="392"/>
      <c r="CA72" s="392"/>
      <c r="CB72" s="392"/>
    </row>
    <row r="73" spans="1:80" x14ac:dyDescent="0.3">
      <c r="A73" s="760" t="s">
        <v>406</v>
      </c>
      <c r="B73" s="383">
        <f t="shared" ref="B73:V73" si="18">(B100/1000)/B131</f>
        <v>0.97970230040595385</v>
      </c>
      <c r="C73" s="383">
        <f t="shared" si="18"/>
        <v>1.274932614555256</v>
      </c>
      <c r="D73" s="383">
        <f t="shared" si="18"/>
        <v>1.6789473684210527</v>
      </c>
      <c r="E73" s="383">
        <f t="shared" si="18"/>
        <v>1.7725490196078433</v>
      </c>
      <c r="F73" s="383">
        <f t="shared" si="18"/>
        <v>2.0822281167108754</v>
      </c>
      <c r="G73" s="383">
        <f t="shared" si="18"/>
        <v>2.0613577023498695</v>
      </c>
      <c r="H73" s="383">
        <f t="shared" si="18"/>
        <v>2.0486842105263157</v>
      </c>
      <c r="I73" s="383">
        <f t="shared" si="18"/>
        <v>2.2328244274809159</v>
      </c>
      <c r="J73" s="383">
        <f t="shared" si="18"/>
        <v>2.2459425717852683</v>
      </c>
      <c r="K73" s="383">
        <f t="shared" si="18"/>
        <v>2.4191919191919191</v>
      </c>
      <c r="L73" s="383">
        <f t="shared" si="18"/>
        <v>2.8987341772151898</v>
      </c>
      <c r="M73" s="383">
        <f t="shared" si="18"/>
        <v>2.3691796008869179</v>
      </c>
      <c r="N73" s="383">
        <f t="shared" si="18"/>
        <v>2.458377239199157</v>
      </c>
      <c r="O73" s="383">
        <f t="shared" si="18"/>
        <v>2.6893787575150303</v>
      </c>
      <c r="P73" s="383">
        <f t="shared" si="18"/>
        <v>4.928499496475327</v>
      </c>
      <c r="Q73" s="383">
        <f t="shared" si="18"/>
        <v>4.9743842364532025</v>
      </c>
      <c r="R73" s="383">
        <f t="shared" si="18"/>
        <v>4.3924949290060855</v>
      </c>
      <c r="S73" s="383">
        <f t="shared" si="18"/>
        <v>5.1866383881230123</v>
      </c>
      <c r="T73" s="383">
        <f t="shared" si="18"/>
        <v>4.5869999999999997</v>
      </c>
      <c r="U73" s="383">
        <f t="shared" si="18"/>
        <v>6.0057142857142853</v>
      </c>
      <c r="V73" s="383">
        <f t="shared" si="18"/>
        <v>5.8839368616527388</v>
      </c>
      <c r="W73" s="904">
        <f>V73/V84</f>
        <v>3.5513337816633038E-2</v>
      </c>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92"/>
      <c r="AV73" s="392"/>
      <c r="AW73" s="392"/>
      <c r="AX73" s="392"/>
      <c r="AY73" s="392"/>
      <c r="AZ73" s="392"/>
      <c r="BA73" s="392"/>
      <c r="BB73" s="392"/>
      <c r="BC73" s="392"/>
      <c r="BD73" s="392"/>
      <c r="BE73" s="392"/>
      <c r="BF73" s="392"/>
      <c r="BG73" s="392"/>
      <c r="BH73" s="392"/>
      <c r="BI73" s="392"/>
      <c r="BJ73" s="392"/>
      <c r="BK73" s="392"/>
      <c r="BL73" s="392"/>
      <c r="BM73" s="392"/>
      <c r="BN73" s="392"/>
      <c r="BO73" s="392"/>
      <c r="BP73" s="392"/>
      <c r="BQ73" s="392"/>
      <c r="BR73" s="392"/>
      <c r="BS73" s="392"/>
      <c r="BT73" s="392"/>
      <c r="BU73" s="392"/>
      <c r="BV73" s="392"/>
      <c r="BW73" s="392"/>
      <c r="BX73" s="392"/>
      <c r="BY73" s="392"/>
      <c r="BZ73" s="392"/>
      <c r="CA73" s="392"/>
      <c r="CB73" s="392"/>
    </row>
    <row r="74" spans="1:80" x14ac:dyDescent="0.3">
      <c r="A74" s="760" t="s">
        <v>393</v>
      </c>
      <c r="B74" s="383">
        <f t="shared" ref="B74:V74" si="19">(B101/1000)/B131</f>
        <v>2.987821380243572</v>
      </c>
      <c r="C74" s="383">
        <f t="shared" si="19"/>
        <v>3.3827493261455523</v>
      </c>
      <c r="D74" s="383">
        <f t="shared" si="19"/>
        <v>4.2868421052631582</v>
      </c>
      <c r="E74" s="383">
        <f t="shared" si="19"/>
        <v>3.8758169934640518</v>
      </c>
      <c r="F74" s="383">
        <f t="shared" si="19"/>
        <v>4.0119363395225465</v>
      </c>
      <c r="G74" s="383">
        <f t="shared" si="19"/>
        <v>4.0078328981723237</v>
      </c>
      <c r="H74" s="383">
        <f t="shared" si="19"/>
        <v>4.0999999999999996</v>
      </c>
      <c r="I74" s="383">
        <f t="shared" si="19"/>
        <v>3.9020356234096698</v>
      </c>
      <c r="J74" s="383">
        <f t="shared" si="19"/>
        <v>4.5081148564294642</v>
      </c>
      <c r="K74" s="383">
        <f t="shared" si="19"/>
        <v>3.9633838383838378</v>
      </c>
      <c r="L74" s="383">
        <f t="shared" si="19"/>
        <v>3.7894131185270421</v>
      </c>
      <c r="M74" s="383">
        <f t="shared" si="19"/>
        <v>3.7716186252771617</v>
      </c>
      <c r="N74" s="383">
        <f t="shared" si="19"/>
        <v>4.4805057955742882</v>
      </c>
      <c r="O74" s="383">
        <f t="shared" si="19"/>
        <v>4.9829659318637276</v>
      </c>
      <c r="P74" s="383">
        <f t="shared" si="19"/>
        <v>4.309164149043303</v>
      </c>
      <c r="Q74" s="383">
        <f t="shared" si="19"/>
        <v>4.0472906403940891</v>
      </c>
      <c r="R74" s="383">
        <f t="shared" si="19"/>
        <v>4.1957403651115612</v>
      </c>
      <c r="S74" s="383">
        <f t="shared" si="19"/>
        <v>4.3775185577942741</v>
      </c>
      <c r="T74" s="383">
        <f t="shared" si="19"/>
        <v>4.9969999999999999</v>
      </c>
      <c r="U74" s="383">
        <f t="shared" si="19"/>
        <v>5.145714285714285</v>
      </c>
      <c r="V74" s="383">
        <f t="shared" si="19"/>
        <v>5.6425255338904368</v>
      </c>
      <c r="W74" s="904">
        <f>V74/V84</f>
        <v>3.4056265411342747E-2</v>
      </c>
      <c r="X74" s="392"/>
      <c r="Y74" s="392"/>
      <c r="Z74" s="392"/>
      <c r="AA74" s="392"/>
      <c r="AB74" s="392"/>
      <c r="AC74" s="392"/>
      <c r="AD74" s="392"/>
      <c r="AE74" s="392"/>
      <c r="AF74" s="392"/>
      <c r="AG74" s="392"/>
      <c r="AH74" s="392"/>
      <c r="AI74" s="392"/>
      <c r="AJ74" s="392"/>
      <c r="AK74" s="392"/>
      <c r="AL74" s="392"/>
      <c r="AM74" s="392"/>
      <c r="AN74" s="392"/>
      <c r="AO74" s="392"/>
      <c r="AP74" s="392"/>
      <c r="AQ74" s="392"/>
      <c r="AR74" s="392"/>
      <c r="AS74" s="392"/>
      <c r="AT74" s="392"/>
      <c r="AU74" s="392"/>
      <c r="AV74" s="392"/>
      <c r="AW74" s="392"/>
      <c r="AX74" s="392"/>
      <c r="AY74" s="392"/>
      <c r="AZ74" s="392"/>
      <c r="BA74" s="392"/>
      <c r="BB74" s="392"/>
      <c r="BC74" s="392"/>
      <c r="BD74" s="392"/>
      <c r="BE74" s="392"/>
      <c r="BF74" s="392"/>
      <c r="BG74" s="392"/>
      <c r="BH74" s="392"/>
      <c r="BI74" s="392"/>
      <c r="BJ74" s="392"/>
      <c r="BK74" s="392"/>
      <c r="BL74" s="392"/>
      <c r="BM74" s="392"/>
      <c r="BN74" s="392"/>
      <c r="BO74" s="392"/>
      <c r="BP74" s="392"/>
      <c r="BQ74" s="392"/>
      <c r="BR74" s="392"/>
      <c r="BS74" s="392"/>
      <c r="BT74" s="392"/>
      <c r="BU74" s="392"/>
      <c r="BV74" s="392"/>
      <c r="BW74" s="392"/>
      <c r="BX74" s="392"/>
      <c r="BY74" s="392"/>
      <c r="BZ74" s="392"/>
      <c r="CA74" s="392"/>
      <c r="CB74" s="392"/>
    </row>
    <row r="75" spans="1:80" x14ac:dyDescent="0.3">
      <c r="A75" s="760" t="s">
        <v>399</v>
      </c>
      <c r="B75" s="383">
        <f t="shared" ref="B75:V75" si="20">(B102/1000)/B131</f>
        <v>1.8064952638700944</v>
      </c>
      <c r="C75" s="383">
        <f t="shared" si="20"/>
        <v>2.2169811320754715</v>
      </c>
      <c r="D75" s="383">
        <f t="shared" si="20"/>
        <v>3.0026315789473683</v>
      </c>
      <c r="E75" s="383">
        <f t="shared" si="20"/>
        <v>2.4509803921568629</v>
      </c>
      <c r="F75" s="383">
        <f t="shared" si="20"/>
        <v>2.3580901856763927</v>
      </c>
      <c r="G75" s="383">
        <f t="shared" si="20"/>
        <v>3.0561357702349876</v>
      </c>
      <c r="H75" s="383">
        <f t="shared" si="20"/>
        <v>3.3802631578947366</v>
      </c>
      <c r="I75" s="383">
        <f t="shared" si="20"/>
        <v>3.7480916030534357</v>
      </c>
      <c r="J75" s="383">
        <f t="shared" si="20"/>
        <v>3.7141073657927595</v>
      </c>
      <c r="K75" s="383">
        <f t="shared" si="20"/>
        <v>4.8345959595959593</v>
      </c>
      <c r="L75" s="383">
        <f t="shared" si="20"/>
        <v>5.7548906789413117</v>
      </c>
      <c r="M75" s="383">
        <f t="shared" si="20"/>
        <v>3.4534368070953438</v>
      </c>
      <c r="N75" s="383">
        <f t="shared" si="20"/>
        <v>4.7987355110642778</v>
      </c>
      <c r="O75" s="383">
        <f t="shared" si="20"/>
        <v>6.6322645290581157</v>
      </c>
      <c r="P75" s="383">
        <f t="shared" si="20"/>
        <v>5.5105740181268885</v>
      </c>
      <c r="Q75" s="383">
        <f t="shared" si="20"/>
        <v>6.1990147783251235</v>
      </c>
      <c r="R75" s="383">
        <f t="shared" si="20"/>
        <v>5.4868154158215008</v>
      </c>
      <c r="S75" s="383">
        <f t="shared" si="20"/>
        <v>4.3478260869565215</v>
      </c>
      <c r="T75" s="383">
        <f t="shared" si="20"/>
        <v>3.456</v>
      </c>
      <c r="U75" s="383">
        <f t="shared" si="20"/>
        <v>4.2495238095238088</v>
      </c>
      <c r="V75" s="383">
        <f t="shared" si="20"/>
        <v>5.1188486536675954</v>
      </c>
      <c r="W75" s="904">
        <f>V75/V84</f>
        <v>3.0895539116789959E-2</v>
      </c>
      <c r="X75" s="392"/>
      <c r="Y75" s="392"/>
      <c r="Z75" s="392"/>
      <c r="AA75" s="392"/>
      <c r="AB75" s="392"/>
      <c r="AC75" s="392"/>
      <c r="AD75" s="392"/>
      <c r="AE75" s="392"/>
      <c r="AF75" s="392"/>
      <c r="AG75" s="392"/>
      <c r="AH75" s="392"/>
      <c r="AI75" s="392"/>
      <c r="AJ75" s="392"/>
      <c r="AK75" s="392"/>
      <c r="AL75" s="392"/>
      <c r="AM75" s="392"/>
      <c r="AN75" s="392"/>
      <c r="AO75" s="392"/>
      <c r="AP75" s="392"/>
      <c r="AQ75" s="392"/>
      <c r="AR75" s="392"/>
      <c r="AS75" s="392"/>
      <c r="AT75" s="392"/>
      <c r="AU75" s="392"/>
      <c r="AV75" s="392"/>
      <c r="AW75" s="392"/>
      <c r="AX75" s="392"/>
      <c r="AY75" s="392"/>
      <c r="AZ75" s="392"/>
      <c r="BA75" s="392"/>
      <c r="BB75" s="392"/>
      <c r="BC75" s="392"/>
      <c r="BD75" s="392"/>
      <c r="BE75" s="392"/>
      <c r="BF75" s="392"/>
      <c r="BG75" s="392"/>
      <c r="BH75" s="392"/>
      <c r="BI75" s="392"/>
      <c r="BJ75" s="392"/>
      <c r="BK75" s="392"/>
      <c r="BL75" s="392"/>
      <c r="BM75" s="392"/>
      <c r="BN75" s="392"/>
      <c r="BO75" s="392"/>
      <c r="BP75" s="392"/>
      <c r="BQ75" s="392"/>
      <c r="BR75" s="392"/>
      <c r="BS75" s="392"/>
      <c r="BT75" s="392"/>
      <c r="BU75" s="392"/>
      <c r="BV75" s="392"/>
      <c r="BW75" s="392"/>
      <c r="BX75" s="392"/>
      <c r="BY75" s="392"/>
      <c r="BZ75" s="392"/>
      <c r="CA75" s="392"/>
      <c r="CB75" s="392"/>
    </row>
    <row r="76" spans="1:80" x14ac:dyDescent="0.3">
      <c r="A76" s="760" t="s">
        <v>390</v>
      </c>
      <c r="B76" s="383">
        <f t="shared" ref="B76:V76" si="21">(B103/1000)/B131</f>
        <v>2.3288227334235452</v>
      </c>
      <c r="C76" s="383">
        <f t="shared" si="21"/>
        <v>1.8450134770889488</v>
      </c>
      <c r="D76" s="383">
        <f t="shared" si="21"/>
        <v>2.7131578947368418</v>
      </c>
      <c r="E76" s="383">
        <f t="shared" si="21"/>
        <v>1.6993464052287581</v>
      </c>
      <c r="F76" s="383">
        <f t="shared" si="21"/>
        <v>1.9310344827586206</v>
      </c>
      <c r="G76" s="383">
        <f t="shared" si="21"/>
        <v>2.3838120104438647</v>
      </c>
      <c r="H76" s="383">
        <f t="shared" si="21"/>
        <v>2.7447368421052629</v>
      </c>
      <c r="I76" s="383">
        <f t="shared" si="21"/>
        <v>2.9783715012722651</v>
      </c>
      <c r="J76" s="383">
        <f t="shared" si="21"/>
        <v>3.3208489388264675</v>
      </c>
      <c r="K76" s="383">
        <f t="shared" si="21"/>
        <v>3.2398989898989896</v>
      </c>
      <c r="L76" s="383">
        <f t="shared" si="21"/>
        <v>3.05638665132336</v>
      </c>
      <c r="M76" s="383">
        <f t="shared" si="21"/>
        <v>2.7006651884700665</v>
      </c>
      <c r="N76" s="383">
        <f t="shared" si="21"/>
        <v>3.4741833508956796</v>
      </c>
      <c r="O76" s="383">
        <f t="shared" si="21"/>
        <v>4.0370741482965933</v>
      </c>
      <c r="P76" s="383">
        <f t="shared" si="21"/>
        <v>3.7492447129909365</v>
      </c>
      <c r="Q76" s="383">
        <f t="shared" si="21"/>
        <v>4.0344827586206895</v>
      </c>
      <c r="R76" s="383">
        <f t="shared" si="21"/>
        <v>3.7221095334685597</v>
      </c>
      <c r="S76" s="383">
        <f t="shared" si="21"/>
        <v>3.8388123011664903</v>
      </c>
      <c r="T76" s="383">
        <f t="shared" si="21"/>
        <v>4.649</v>
      </c>
      <c r="U76" s="383">
        <f t="shared" si="21"/>
        <v>5.6333333333333329</v>
      </c>
      <c r="V76" s="383">
        <f t="shared" si="21"/>
        <v>4.8570102135561743</v>
      </c>
      <c r="W76" s="904">
        <f>V76/V84</f>
        <v>2.9315175969513559E-2</v>
      </c>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2"/>
      <c r="AY76" s="392"/>
      <c r="AZ76" s="392"/>
      <c r="BA76" s="392"/>
      <c r="BB76" s="392"/>
      <c r="BC76" s="392"/>
      <c r="BD76" s="392"/>
      <c r="BE76" s="392"/>
      <c r="BF76" s="392"/>
      <c r="BG76" s="392"/>
      <c r="BH76" s="392"/>
      <c r="BI76" s="392"/>
      <c r="BJ76" s="392"/>
      <c r="BK76" s="392"/>
      <c r="BL76" s="392"/>
      <c r="BM76" s="392"/>
      <c r="BN76" s="392"/>
      <c r="BO76" s="392"/>
      <c r="BP76" s="392"/>
      <c r="BQ76" s="392"/>
      <c r="BR76" s="392"/>
      <c r="BS76" s="392"/>
      <c r="BT76" s="392"/>
      <c r="BU76" s="392"/>
      <c r="BV76" s="392"/>
      <c r="BW76" s="392"/>
      <c r="BX76" s="392"/>
      <c r="BY76" s="392"/>
      <c r="BZ76" s="392"/>
      <c r="CA76" s="392"/>
      <c r="CB76" s="392"/>
    </row>
    <row r="77" spans="1:80" x14ac:dyDescent="0.3">
      <c r="A77" s="760" t="s">
        <v>405</v>
      </c>
      <c r="B77" s="383">
        <f t="shared" ref="B77:V77" si="22">(B104/1000)/B131</f>
        <v>2.3017591339648171</v>
      </c>
      <c r="C77" s="383">
        <f t="shared" si="22"/>
        <v>2.2884097035040432</v>
      </c>
      <c r="D77" s="383">
        <f t="shared" si="22"/>
        <v>2.263157894736842</v>
      </c>
      <c r="E77" s="383">
        <f t="shared" si="22"/>
        <v>2.1777777777777776</v>
      </c>
      <c r="F77" s="383">
        <f t="shared" si="22"/>
        <v>2.0092838196286471</v>
      </c>
      <c r="G77" s="383">
        <f t="shared" si="22"/>
        <v>2.1266318537859012</v>
      </c>
      <c r="H77" s="383">
        <f t="shared" si="22"/>
        <v>2.3131578947368423</v>
      </c>
      <c r="I77" s="383">
        <f t="shared" si="22"/>
        <v>2.7493638676844787</v>
      </c>
      <c r="J77" s="383">
        <f t="shared" si="22"/>
        <v>2.9363295880149813</v>
      </c>
      <c r="K77" s="383">
        <f t="shared" si="22"/>
        <v>3.2613636363636362</v>
      </c>
      <c r="L77" s="383">
        <f t="shared" si="22"/>
        <v>3.2784810126582276</v>
      </c>
      <c r="M77" s="383">
        <f t="shared" si="22"/>
        <v>3.2993348115299335</v>
      </c>
      <c r="N77" s="383">
        <f t="shared" si="22"/>
        <v>3.6491043203371967</v>
      </c>
      <c r="O77" s="383">
        <f t="shared" si="22"/>
        <v>3.8997995991983969</v>
      </c>
      <c r="P77" s="383">
        <f t="shared" si="22"/>
        <v>4.5156092648539783</v>
      </c>
      <c r="Q77" s="383">
        <f t="shared" si="22"/>
        <v>4.2413793103448274</v>
      </c>
      <c r="R77" s="383">
        <f t="shared" si="22"/>
        <v>3.9097363083164303</v>
      </c>
      <c r="S77" s="383">
        <f t="shared" si="22"/>
        <v>4.2057264050901386</v>
      </c>
      <c r="T77" s="383">
        <f t="shared" si="22"/>
        <v>4.6820000000000004</v>
      </c>
      <c r="U77" s="383">
        <f t="shared" si="22"/>
        <v>5.0190476190476181</v>
      </c>
      <c r="V77" s="383">
        <f t="shared" si="22"/>
        <v>4.6657381615598892</v>
      </c>
      <c r="W77" s="904">
        <f>V77/V84</f>
        <v>2.8160726294552792E-2</v>
      </c>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92"/>
      <c r="AV77" s="392"/>
      <c r="AW77" s="392"/>
      <c r="AX77" s="392"/>
      <c r="AY77" s="392"/>
      <c r="AZ77" s="392"/>
      <c r="BA77" s="392"/>
      <c r="BB77" s="392"/>
      <c r="BC77" s="392"/>
      <c r="BD77" s="392"/>
      <c r="BE77" s="392"/>
      <c r="BF77" s="392"/>
      <c r="BG77" s="392"/>
      <c r="BH77" s="392"/>
      <c r="BI77" s="392"/>
      <c r="BJ77" s="392"/>
      <c r="BK77" s="392"/>
      <c r="BL77" s="392"/>
      <c r="BM77" s="392"/>
      <c r="BN77" s="392"/>
      <c r="BO77" s="392"/>
      <c r="BP77" s="392"/>
      <c r="BQ77" s="392"/>
      <c r="BR77" s="392"/>
      <c r="BS77" s="392"/>
      <c r="BT77" s="392"/>
      <c r="BU77" s="392"/>
      <c r="BV77" s="392"/>
      <c r="BW77" s="392"/>
      <c r="BX77" s="392"/>
      <c r="BY77" s="392"/>
      <c r="BZ77" s="392"/>
      <c r="CA77" s="392"/>
      <c r="CB77" s="392"/>
    </row>
    <row r="78" spans="1:80" x14ac:dyDescent="0.3">
      <c r="A78" s="760" t="s">
        <v>409</v>
      </c>
      <c r="B78" s="383">
        <f t="shared" ref="B78:V78" si="23">(B105/1000)/B131</f>
        <v>3.3991880920162378</v>
      </c>
      <c r="C78" s="383">
        <f t="shared" si="23"/>
        <v>3.1266846361185983</v>
      </c>
      <c r="D78" s="383">
        <f t="shared" si="23"/>
        <v>3.3236842105263156</v>
      </c>
      <c r="E78" s="383">
        <f t="shared" si="23"/>
        <v>3.0954248366013069</v>
      </c>
      <c r="F78" s="383">
        <f t="shared" si="23"/>
        <v>2.909814323607427</v>
      </c>
      <c r="G78" s="383">
        <f t="shared" si="23"/>
        <v>3.1762402088772848</v>
      </c>
      <c r="H78" s="383">
        <f t="shared" si="23"/>
        <v>3.4092105263157895</v>
      </c>
      <c r="I78" s="383">
        <f t="shared" si="23"/>
        <v>3.3982188295165394</v>
      </c>
      <c r="J78" s="383">
        <f t="shared" si="23"/>
        <v>3.2034956304619229</v>
      </c>
      <c r="K78" s="383">
        <f t="shared" si="23"/>
        <v>3.3901515151515151</v>
      </c>
      <c r="L78" s="383">
        <f t="shared" si="23"/>
        <v>3.5983889528193318</v>
      </c>
      <c r="M78" s="383">
        <f t="shared" si="23"/>
        <v>3.2960088691796008</v>
      </c>
      <c r="N78" s="383">
        <f t="shared" si="23"/>
        <v>3.5837723919915696</v>
      </c>
      <c r="O78" s="383">
        <f t="shared" si="23"/>
        <v>4.4478957915831661</v>
      </c>
      <c r="P78" s="383">
        <f t="shared" si="23"/>
        <v>4.7371601208459211</v>
      </c>
      <c r="Q78" s="383">
        <f t="shared" si="23"/>
        <v>4.0463054187192125</v>
      </c>
      <c r="R78" s="383">
        <f t="shared" si="23"/>
        <v>3.9563894523326573</v>
      </c>
      <c r="S78" s="383">
        <f t="shared" si="23"/>
        <v>4.2523860021208906</v>
      </c>
      <c r="T78" s="383">
        <f t="shared" si="23"/>
        <v>4.1619999999999999</v>
      </c>
      <c r="U78" s="383">
        <f t="shared" si="23"/>
        <v>4.7390476190476187</v>
      </c>
      <c r="V78" s="383">
        <f t="shared" si="23"/>
        <v>4.6480965645311052</v>
      </c>
      <c r="W78" s="904">
        <f>V78/V84</f>
        <v>2.8054247926473885E-2</v>
      </c>
      <c r="X78" s="392"/>
      <c r="Y78" s="392"/>
      <c r="Z78" s="392"/>
      <c r="AA78" s="392"/>
      <c r="AB78" s="392"/>
      <c r="AC78" s="392"/>
      <c r="AD78" s="392"/>
      <c r="AE78" s="392"/>
      <c r="AF78" s="392"/>
      <c r="AG78" s="392"/>
      <c r="AH78" s="392"/>
      <c r="AI78" s="392"/>
      <c r="AJ78" s="392"/>
      <c r="AK78" s="392"/>
      <c r="AL78" s="392"/>
      <c r="AM78" s="392"/>
      <c r="AN78" s="392"/>
      <c r="AO78" s="392"/>
      <c r="AP78" s="392"/>
      <c r="AQ78" s="392"/>
      <c r="AR78" s="392"/>
      <c r="AS78" s="392"/>
      <c r="AT78" s="392"/>
      <c r="AU78" s="392"/>
      <c r="AV78" s="392"/>
      <c r="AW78" s="392"/>
      <c r="AX78" s="392"/>
      <c r="AY78" s="392"/>
      <c r="AZ78" s="392"/>
      <c r="BA78" s="392"/>
      <c r="BB78" s="392"/>
      <c r="BC78" s="392"/>
      <c r="BD78" s="392"/>
      <c r="BE78" s="392"/>
      <c r="BF78" s="392"/>
      <c r="BG78" s="392"/>
      <c r="BH78" s="392"/>
      <c r="BI78" s="392"/>
      <c r="BJ78" s="392"/>
      <c r="BK78" s="392"/>
      <c r="BL78" s="392"/>
      <c r="BM78" s="392"/>
      <c r="BN78" s="392"/>
      <c r="BO78" s="392"/>
      <c r="BP78" s="392"/>
      <c r="BQ78" s="392"/>
      <c r="BR78" s="392"/>
      <c r="BS78" s="392"/>
      <c r="BT78" s="392"/>
      <c r="BU78" s="392"/>
      <c r="BV78" s="392"/>
      <c r="BW78" s="392"/>
      <c r="BX78" s="392"/>
      <c r="BY78" s="392"/>
      <c r="BZ78" s="392"/>
      <c r="CA78" s="392"/>
      <c r="CB78" s="392"/>
    </row>
    <row r="79" spans="1:80" x14ac:dyDescent="0.3">
      <c r="A79" s="760" t="s">
        <v>414</v>
      </c>
      <c r="B79" s="383">
        <f t="shared" ref="B79:V79" si="24">(B106/1000)/B131</f>
        <v>3.9133964817320699</v>
      </c>
      <c r="C79" s="383">
        <f t="shared" si="24"/>
        <v>3.0121293800539082</v>
      </c>
      <c r="D79" s="383">
        <f t="shared" si="24"/>
        <v>2.9736842105263155</v>
      </c>
      <c r="E79" s="383">
        <f t="shared" si="24"/>
        <v>2.7045751633986925</v>
      </c>
      <c r="F79" s="383">
        <f t="shared" si="24"/>
        <v>2.6061007957559683</v>
      </c>
      <c r="G79" s="383">
        <f t="shared" si="24"/>
        <v>2.7532637075718021</v>
      </c>
      <c r="H79" s="383">
        <f t="shared" si="24"/>
        <v>2.8223684210526314</v>
      </c>
      <c r="I79" s="383">
        <f t="shared" si="24"/>
        <v>3.1043256997455475</v>
      </c>
      <c r="J79" s="383">
        <f t="shared" si="24"/>
        <v>2.8451935081148565</v>
      </c>
      <c r="K79" s="383">
        <f t="shared" si="24"/>
        <v>3.7436868686868685</v>
      </c>
      <c r="L79" s="383">
        <f t="shared" si="24"/>
        <v>3.4292289988492515</v>
      </c>
      <c r="M79" s="383">
        <f t="shared" si="24"/>
        <v>3.2549889135254988</v>
      </c>
      <c r="N79" s="383">
        <f t="shared" si="24"/>
        <v>3.3487881981032661</v>
      </c>
      <c r="O79" s="383">
        <f t="shared" si="24"/>
        <v>3.5420841683366735</v>
      </c>
      <c r="P79" s="383">
        <f t="shared" si="24"/>
        <v>3.7905337361530713</v>
      </c>
      <c r="Q79" s="383">
        <f t="shared" si="24"/>
        <v>3.5684729064039411</v>
      </c>
      <c r="R79" s="383">
        <f t="shared" si="24"/>
        <v>3.9350912778904665</v>
      </c>
      <c r="S79" s="383">
        <f t="shared" si="24"/>
        <v>3.6330858960763526</v>
      </c>
      <c r="T79" s="383">
        <f t="shared" si="24"/>
        <v>3.3069999999999999</v>
      </c>
      <c r="U79" s="383">
        <f t="shared" si="24"/>
        <v>3.0695238095238091</v>
      </c>
      <c r="V79" s="383">
        <f t="shared" si="24"/>
        <v>3.3760445682451254</v>
      </c>
      <c r="W79" s="904">
        <f>V79/V84</f>
        <v>2.0376597175521184E-2</v>
      </c>
      <c r="X79" s="392"/>
      <c r="Y79" s="392"/>
      <c r="Z79" s="392"/>
      <c r="AA79" s="392"/>
      <c r="AB79" s="392"/>
      <c r="AC79" s="392"/>
      <c r="AD79" s="392"/>
      <c r="AE79" s="392"/>
      <c r="AF79" s="392"/>
      <c r="AG79" s="392"/>
      <c r="AH79" s="392"/>
      <c r="AI79" s="392"/>
      <c r="AJ79" s="392"/>
      <c r="AK79" s="392"/>
      <c r="AL79" s="392"/>
      <c r="AM79" s="392"/>
      <c r="AN79" s="392"/>
      <c r="AO79" s="392"/>
      <c r="AP79" s="392"/>
      <c r="AQ79" s="392"/>
      <c r="AR79" s="392"/>
      <c r="AS79" s="392"/>
      <c r="AT79" s="392"/>
      <c r="AU79" s="392"/>
      <c r="AV79" s="392"/>
      <c r="AW79" s="392"/>
      <c r="AX79" s="392"/>
      <c r="AY79" s="392"/>
      <c r="AZ79" s="392"/>
      <c r="BA79" s="392"/>
      <c r="BB79" s="392"/>
      <c r="BC79" s="392"/>
      <c r="BD79" s="392"/>
      <c r="BE79" s="392"/>
      <c r="BF79" s="392"/>
      <c r="BG79" s="392"/>
      <c r="BH79" s="392"/>
      <c r="BI79" s="392"/>
      <c r="BJ79" s="392"/>
      <c r="BK79" s="392"/>
      <c r="BL79" s="392"/>
      <c r="BM79" s="392"/>
      <c r="BN79" s="392"/>
      <c r="BO79" s="392"/>
      <c r="BP79" s="392"/>
      <c r="BQ79" s="392"/>
      <c r="BR79" s="392"/>
      <c r="BS79" s="392"/>
      <c r="BT79" s="392"/>
      <c r="BU79" s="392"/>
      <c r="BV79" s="392"/>
      <c r="BW79" s="392"/>
      <c r="BX79" s="392"/>
      <c r="BY79" s="392"/>
      <c r="BZ79" s="392"/>
      <c r="CA79" s="392"/>
      <c r="CB79" s="392"/>
    </row>
    <row r="80" spans="1:80" x14ac:dyDescent="0.3">
      <c r="A80" s="775" t="s">
        <v>928</v>
      </c>
      <c r="B80" s="815">
        <f t="shared" ref="B80:V80" si="25">(B107/1000)/B131</f>
        <v>54.427604871447897</v>
      </c>
      <c r="C80" s="815">
        <f t="shared" si="25"/>
        <v>58.582210242587607</v>
      </c>
      <c r="D80" s="815">
        <f t="shared" si="25"/>
        <v>67.734210526315792</v>
      </c>
      <c r="E80" s="815">
        <f t="shared" si="25"/>
        <v>66.211764705882359</v>
      </c>
      <c r="F80" s="815">
        <f t="shared" si="25"/>
        <v>64.128647214854112</v>
      </c>
      <c r="G80" s="815">
        <f t="shared" si="25"/>
        <v>66.321148825065279</v>
      </c>
      <c r="H80" s="815">
        <f t="shared" si="25"/>
        <v>69.180263157894728</v>
      </c>
      <c r="I80" s="815">
        <f t="shared" si="25"/>
        <v>76.821882951653947</v>
      </c>
      <c r="J80" s="815">
        <f t="shared" si="25"/>
        <v>75.088639200998756</v>
      </c>
      <c r="K80" s="815">
        <f t="shared" si="25"/>
        <v>77.460858585858574</v>
      </c>
      <c r="L80" s="815">
        <f t="shared" si="25"/>
        <v>80.089758342922892</v>
      </c>
      <c r="M80" s="815">
        <f t="shared" si="25"/>
        <v>72.333702882483379</v>
      </c>
      <c r="N80" s="815">
        <f t="shared" si="25"/>
        <v>81.099051633298203</v>
      </c>
      <c r="O80" s="815">
        <f t="shared" si="25"/>
        <v>88.730460921843687</v>
      </c>
      <c r="P80" s="815">
        <f t="shared" si="25"/>
        <v>92.352467270896284</v>
      </c>
      <c r="Q80" s="815">
        <f t="shared" si="25"/>
        <v>93.305418719211829</v>
      </c>
      <c r="R80" s="815">
        <f t="shared" si="25"/>
        <v>94.631845841784994</v>
      </c>
      <c r="S80" s="815">
        <f t="shared" si="25"/>
        <v>105.29586426299046</v>
      </c>
      <c r="T80" s="815">
        <f t="shared" si="25"/>
        <v>102.495</v>
      </c>
      <c r="U80" s="815">
        <f t="shared" si="25"/>
        <v>112.08190476190477</v>
      </c>
      <c r="V80" s="815">
        <f t="shared" si="25"/>
        <v>114.74094707520891</v>
      </c>
      <c r="W80" s="905">
        <f>V80/V84</f>
        <v>0.69253530598520507</v>
      </c>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92"/>
      <c r="AT80" s="392"/>
      <c r="AU80" s="392"/>
      <c r="AV80" s="392"/>
      <c r="AW80" s="392"/>
      <c r="AX80" s="392"/>
      <c r="AY80" s="392"/>
      <c r="AZ80" s="392"/>
      <c r="BA80" s="392"/>
      <c r="BB80" s="392"/>
      <c r="BC80" s="392"/>
      <c r="BD80" s="392"/>
      <c r="BE80" s="392"/>
      <c r="BF80" s="392"/>
      <c r="BG80" s="392"/>
      <c r="BH80" s="392"/>
      <c r="BI80" s="392"/>
      <c r="BJ80" s="392"/>
      <c r="BK80" s="392"/>
      <c r="BL80" s="392"/>
      <c r="BM80" s="392"/>
      <c r="BN80" s="392"/>
      <c r="BO80" s="392"/>
      <c r="BP80" s="392"/>
      <c r="BQ80" s="392"/>
      <c r="BR80" s="392"/>
      <c r="BS80" s="392"/>
      <c r="BT80" s="392"/>
      <c r="BU80" s="392"/>
      <c r="BV80" s="392"/>
      <c r="BW80" s="392"/>
      <c r="BX80" s="392"/>
      <c r="BY80" s="392"/>
      <c r="BZ80" s="392"/>
      <c r="CA80" s="392"/>
      <c r="CB80" s="392"/>
    </row>
    <row r="81" spans="1:80" x14ac:dyDescent="0.3">
      <c r="A81" s="760" t="s">
        <v>937</v>
      </c>
      <c r="B81" s="383">
        <f t="shared" ref="B81:V81" si="26">(B108/1000)/B131</f>
        <v>10.07848443843031</v>
      </c>
      <c r="C81" s="383">
        <f t="shared" si="26"/>
        <v>8.4973045822102424</v>
      </c>
      <c r="D81" s="383">
        <f t="shared" si="26"/>
        <v>9.9302631578947356</v>
      </c>
      <c r="E81" s="383">
        <f t="shared" si="26"/>
        <v>9.3725490196078436</v>
      </c>
      <c r="F81" s="383">
        <f t="shared" si="26"/>
        <v>8.7095490716180368</v>
      </c>
      <c r="G81" s="383">
        <f t="shared" si="26"/>
        <v>8.7650130548302894</v>
      </c>
      <c r="H81" s="383">
        <f t="shared" si="26"/>
        <v>9.1789473684210527</v>
      </c>
      <c r="I81" s="383">
        <f t="shared" si="26"/>
        <v>12.314249363867686</v>
      </c>
      <c r="J81" s="383">
        <f t="shared" si="26"/>
        <v>11.114856429463172</v>
      </c>
      <c r="K81" s="383">
        <f t="shared" si="26"/>
        <v>11.157828282828282</v>
      </c>
      <c r="L81" s="383">
        <f t="shared" si="26"/>
        <v>11.230149597238205</v>
      </c>
      <c r="M81" s="383">
        <f t="shared" si="26"/>
        <v>9.8226164079822613</v>
      </c>
      <c r="N81" s="383">
        <f t="shared" si="26"/>
        <v>11.858798735511064</v>
      </c>
      <c r="O81" s="383">
        <f t="shared" si="26"/>
        <v>12.519038076152304</v>
      </c>
      <c r="P81" s="383">
        <f t="shared" si="26"/>
        <v>13.085599194360524</v>
      </c>
      <c r="Q81" s="383">
        <f t="shared" si="26"/>
        <v>13.361576354679803</v>
      </c>
      <c r="R81" s="383">
        <f t="shared" si="26"/>
        <v>13.769776876267748</v>
      </c>
      <c r="S81" s="383">
        <f t="shared" si="26"/>
        <v>18.025450689289503</v>
      </c>
      <c r="T81" s="383">
        <f t="shared" si="26"/>
        <v>16.552</v>
      </c>
      <c r="U81" s="383">
        <f t="shared" si="26"/>
        <v>15.846666666666666</v>
      </c>
      <c r="V81" s="383">
        <f t="shared" si="26"/>
        <v>15.006499535747446</v>
      </c>
      <c r="W81" s="906">
        <f>V81/V84</f>
        <v>9.0573862362698945E-2</v>
      </c>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2"/>
      <c r="AY81" s="392"/>
      <c r="AZ81" s="392"/>
      <c r="BA81" s="392"/>
      <c r="BB81" s="392"/>
      <c r="BC81" s="392"/>
      <c r="BD81" s="392"/>
      <c r="BE81" s="392"/>
      <c r="BF81" s="392"/>
      <c r="BG81" s="392"/>
      <c r="BH81" s="392"/>
      <c r="BI81" s="392"/>
      <c r="BJ81" s="392"/>
      <c r="BK81" s="392"/>
      <c r="BL81" s="392"/>
      <c r="BM81" s="392"/>
      <c r="BN81" s="392"/>
      <c r="BO81" s="392"/>
      <c r="BP81" s="392"/>
      <c r="BQ81" s="392"/>
      <c r="BR81" s="392"/>
      <c r="BS81" s="392"/>
      <c r="BT81" s="392"/>
      <c r="BU81" s="392"/>
      <c r="BV81" s="392"/>
      <c r="BW81" s="392"/>
      <c r="BX81" s="392"/>
      <c r="BY81" s="392"/>
      <c r="BZ81" s="392"/>
      <c r="CA81" s="392"/>
      <c r="CB81" s="392"/>
    </row>
    <row r="82" spans="1:80" x14ac:dyDescent="0.3">
      <c r="A82" s="775" t="s">
        <v>933</v>
      </c>
      <c r="B82" s="815">
        <f t="shared" ref="B82:V82" si="27">(B110/1000)/B131</f>
        <v>64.506089309878206</v>
      </c>
      <c r="C82" s="815">
        <f t="shared" si="27"/>
        <v>67.079514824797855</v>
      </c>
      <c r="D82" s="815">
        <f t="shared" si="27"/>
        <v>77.66447368421052</v>
      </c>
      <c r="E82" s="815">
        <f t="shared" si="27"/>
        <v>75.584313725490205</v>
      </c>
      <c r="F82" s="815">
        <f t="shared" si="27"/>
        <v>72.838196286472154</v>
      </c>
      <c r="G82" s="815">
        <f t="shared" si="27"/>
        <v>75.08616187989557</v>
      </c>
      <c r="H82" s="815">
        <f t="shared" si="27"/>
        <v>78.359210526315792</v>
      </c>
      <c r="I82" s="815">
        <f t="shared" si="27"/>
        <v>89.13613231552165</v>
      </c>
      <c r="J82" s="815">
        <f t="shared" si="27"/>
        <v>86.203495630461944</v>
      </c>
      <c r="K82" s="815">
        <f t="shared" si="27"/>
        <v>88.618686868686879</v>
      </c>
      <c r="L82" s="815">
        <f t="shared" si="27"/>
        <v>91.319907940161087</v>
      </c>
      <c r="M82" s="815">
        <f t="shared" si="27"/>
        <v>82.156319290465632</v>
      </c>
      <c r="N82" s="815">
        <f t="shared" si="27"/>
        <v>92.957850368809261</v>
      </c>
      <c r="O82" s="815">
        <f t="shared" si="27"/>
        <v>101.24949899799599</v>
      </c>
      <c r="P82" s="815">
        <f t="shared" si="27"/>
        <v>105.4380664652568</v>
      </c>
      <c r="Q82" s="815">
        <f t="shared" si="27"/>
        <v>106.66699507389163</v>
      </c>
      <c r="R82" s="815">
        <f t="shared" si="27"/>
        <v>108.40162271805274</v>
      </c>
      <c r="S82" s="815">
        <f t="shared" si="27"/>
        <v>123.32131495227996</v>
      </c>
      <c r="T82" s="815">
        <f t="shared" si="27"/>
        <v>119.047</v>
      </c>
      <c r="U82" s="815">
        <f t="shared" si="27"/>
        <v>127.92857142857142</v>
      </c>
      <c r="V82" s="815">
        <f t="shared" si="27"/>
        <v>129.74744661095636</v>
      </c>
      <c r="W82" s="904">
        <f>V82/V84</f>
        <v>0.78310916834790401</v>
      </c>
      <c r="X82" s="392"/>
      <c r="Y82" s="392"/>
      <c r="Z82" s="392"/>
      <c r="AA82" s="392"/>
      <c r="AB82" s="392"/>
      <c r="AC82" s="392"/>
      <c r="AD82" s="392"/>
      <c r="AE82" s="392"/>
      <c r="AF82" s="392"/>
      <c r="AG82" s="392"/>
      <c r="AH82" s="392"/>
      <c r="AI82" s="392"/>
      <c r="AJ82" s="392"/>
      <c r="AK82" s="392"/>
      <c r="AL82" s="392"/>
      <c r="AM82" s="392"/>
      <c r="AN82" s="392"/>
      <c r="AO82" s="392"/>
      <c r="AP82" s="392"/>
      <c r="AQ82" s="392"/>
      <c r="AR82" s="392"/>
      <c r="AS82" s="392"/>
      <c r="AT82" s="392"/>
      <c r="AU82" s="392"/>
      <c r="AV82" s="392"/>
      <c r="AW82" s="392"/>
      <c r="AX82" s="392"/>
      <c r="AY82" s="392"/>
      <c r="AZ82" s="392"/>
      <c r="BA82" s="392"/>
      <c r="BB82" s="392"/>
      <c r="BC82" s="392"/>
      <c r="BD82" s="392"/>
      <c r="BE82" s="392"/>
      <c r="BF82" s="392"/>
      <c r="BG82" s="392"/>
      <c r="BH82" s="392"/>
      <c r="BI82" s="392"/>
      <c r="BJ82" s="392"/>
      <c r="BK82" s="392"/>
      <c r="BL82" s="392"/>
      <c r="BM82" s="392"/>
      <c r="BN82" s="392"/>
      <c r="BO82" s="392"/>
      <c r="BP82" s="392"/>
      <c r="BQ82" s="392"/>
      <c r="BR82" s="392"/>
      <c r="BS82" s="392"/>
      <c r="BT82" s="392"/>
      <c r="BU82" s="392"/>
      <c r="BV82" s="392"/>
      <c r="BW82" s="392"/>
      <c r="BX82" s="392"/>
      <c r="BY82" s="392"/>
      <c r="BZ82" s="392"/>
      <c r="CA82" s="392"/>
      <c r="CB82" s="392"/>
    </row>
    <row r="83" spans="1:80" x14ac:dyDescent="0.3">
      <c r="A83" s="760" t="s">
        <v>88</v>
      </c>
      <c r="B83" s="383">
        <f t="shared" ref="B83:V83" si="28">(B111/1000)/B131</f>
        <v>23.677943166441136</v>
      </c>
      <c r="C83" s="383">
        <f t="shared" si="28"/>
        <v>21.10377358490566</v>
      </c>
      <c r="D83" s="383">
        <f t="shared" si="28"/>
        <v>22.501315789473683</v>
      </c>
      <c r="E83" s="383">
        <f t="shared" si="28"/>
        <v>23.22875816993464</v>
      </c>
      <c r="F83" s="383">
        <f t="shared" si="28"/>
        <v>22.907161803713525</v>
      </c>
      <c r="G83" s="383">
        <f t="shared" si="28"/>
        <v>25.528720626631856</v>
      </c>
      <c r="H83" s="383">
        <f t="shared" si="28"/>
        <v>26.099999999999998</v>
      </c>
      <c r="I83" s="383">
        <f t="shared" si="28"/>
        <v>26.43256997455471</v>
      </c>
      <c r="J83" s="383">
        <f t="shared" si="28"/>
        <v>27.868913857677907</v>
      </c>
      <c r="K83" s="383">
        <f t="shared" si="28"/>
        <v>30.507575757575754</v>
      </c>
      <c r="L83" s="383">
        <f t="shared" si="28"/>
        <v>35.095512082853851</v>
      </c>
      <c r="M83" s="383">
        <f t="shared" si="28"/>
        <v>30.59312638580931</v>
      </c>
      <c r="N83" s="383">
        <f t="shared" si="28"/>
        <v>36.155953635405687</v>
      </c>
      <c r="O83" s="383">
        <f t="shared" si="28"/>
        <v>39.953907815631268</v>
      </c>
      <c r="P83" s="383">
        <f t="shared" si="28"/>
        <v>42.484390735146022</v>
      </c>
      <c r="Q83" s="383">
        <f t="shared" si="28"/>
        <v>40.295566502463053</v>
      </c>
      <c r="R83" s="383">
        <f t="shared" si="28"/>
        <v>39.918864097363084</v>
      </c>
      <c r="S83" s="383">
        <f t="shared" si="28"/>
        <v>39.020148462354193</v>
      </c>
      <c r="T83" s="383">
        <f t="shared" si="28"/>
        <v>37.320999999999998</v>
      </c>
      <c r="U83" s="383">
        <f t="shared" si="28"/>
        <v>38.41238095238095</v>
      </c>
      <c r="V83" s="383">
        <f t="shared" si="28"/>
        <v>35.935004642525534</v>
      </c>
      <c r="W83" s="904">
        <f>V83/V84</f>
        <v>0.21689083165209594</v>
      </c>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row>
    <row r="84" spans="1:80" x14ac:dyDescent="0.3">
      <c r="A84" s="909" t="s">
        <v>934</v>
      </c>
      <c r="B84" s="816">
        <f t="shared" ref="B84:V84" si="29">(B112/1000)/B131</f>
        <v>88.184032476319345</v>
      </c>
      <c r="C84" s="816">
        <f t="shared" si="29"/>
        <v>88.183288409703508</v>
      </c>
      <c r="D84" s="816">
        <f t="shared" si="29"/>
        <v>100.16578947368421</v>
      </c>
      <c r="E84" s="816">
        <f t="shared" si="29"/>
        <v>98.813071895424827</v>
      </c>
      <c r="F84" s="816">
        <f t="shared" si="29"/>
        <v>95.745358090185661</v>
      </c>
      <c r="G84" s="816">
        <f t="shared" si="29"/>
        <v>100.61488250652742</v>
      </c>
      <c r="H84" s="816">
        <f t="shared" si="29"/>
        <v>104.45921052631579</v>
      </c>
      <c r="I84" s="816">
        <f t="shared" si="29"/>
        <v>115.56870229007635</v>
      </c>
      <c r="J84" s="816">
        <f t="shared" si="29"/>
        <v>114.07240948813984</v>
      </c>
      <c r="K84" s="816">
        <f t="shared" si="29"/>
        <v>119.12626262626262</v>
      </c>
      <c r="L84" s="816">
        <f t="shared" si="29"/>
        <v>126.41542002301495</v>
      </c>
      <c r="M84" s="816">
        <f t="shared" si="29"/>
        <v>112.74944567627495</v>
      </c>
      <c r="N84" s="816">
        <f t="shared" si="29"/>
        <v>129.11380400421496</v>
      </c>
      <c r="O84" s="816">
        <f t="shared" si="29"/>
        <v>141.20340681362725</v>
      </c>
      <c r="P84" s="816">
        <f t="shared" si="29"/>
        <v>147.92245720040282</v>
      </c>
      <c r="Q84" s="816">
        <f t="shared" si="29"/>
        <v>146.96256157635469</v>
      </c>
      <c r="R84" s="816">
        <f t="shared" si="29"/>
        <v>148.32048681541582</v>
      </c>
      <c r="S84" s="816">
        <f t="shared" si="29"/>
        <v>162.34146341463415</v>
      </c>
      <c r="T84" s="816">
        <f t="shared" si="29"/>
        <v>156.36799999999999</v>
      </c>
      <c r="U84" s="816">
        <f t="shared" si="29"/>
        <v>166.34095238095236</v>
      </c>
      <c r="V84" s="816">
        <f t="shared" si="29"/>
        <v>165.6824512534819</v>
      </c>
      <c r="W84" s="904">
        <f>W82+W83</f>
        <v>1</v>
      </c>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392"/>
      <c r="AU84" s="392"/>
      <c r="AV84" s="392"/>
      <c r="AW84" s="392"/>
      <c r="AX84" s="392"/>
      <c r="AY84" s="392"/>
      <c r="AZ84" s="392"/>
      <c r="BA84" s="392"/>
      <c r="BB84" s="392"/>
      <c r="BC84" s="392"/>
      <c r="BD84" s="392"/>
      <c r="BE84" s="392"/>
      <c r="BF84" s="392"/>
      <c r="BG84" s="392"/>
      <c r="BH84" s="392"/>
      <c r="BI84" s="392"/>
      <c r="BJ84" s="392"/>
      <c r="BK84" s="392"/>
      <c r="BL84" s="392"/>
      <c r="BM84" s="392"/>
      <c r="BN84" s="392"/>
      <c r="BO84" s="392"/>
      <c r="BP84" s="392"/>
      <c r="BQ84" s="392"/>
      <c r="BR84" s="392"/>
      <c r="BS84" s="392"/>
      <c r="BT84" s="392"/>
      <c r="BU84" s="392"/>
      <c r="BV84" s="392"/>
      <c r="BW84" s="392"/>
      <c r="BX84" s="392"/>
      <c r="BY84" s="392"/>
      <c r="BZ84" s="392"/>
      <c r="CA84" s="392"/>
      <c r="CB84" s="392"/>
    </row>
    <row r="85" spans="1:80" s="899" customFormat="1" x14ac:dyDescent="0.3">
      <c r="A85" s="853" t="s">
        <v>90</v>
      </c>
      <c r="B85" s="815">
        <f>(B113/1000)/B131</f>
        <v>27.89039242219215</v>
      </c>
      <c r="C85" s="815">
        <f t="shared" ref="C85:F85" si="30">(C113/1000)/C131</f>
        <v>27.733153638814017</v>
      </c>
      <c r="D85" s="815">
        <f t="shared" si="30"/>
        <v>30.071052631578947</v>
      </c>
      <c r="E85" s="815">
        <f t="shared" si="30"/>
        <v>29.41699346405229</v>
      </c>
      <c r="F85" s="815">
        <f t="shared" si="30"/>
        <v>27.941644562334218</v>
      </c>
      <c r="G85" s="815">
        <f t="shared" ref="G85:V85" si="31">(G113/1000)/G131</f>
        <v>25.993472584856402</v>
      </c>
      <c r="H85" s="815">
        <f t="shared" si="31"/>
        <v>27.651315789473685</v>
      </c>
      <c r="I85" s="815">
        <f t="shared" si="31"/>
        <v>28.447837150127228</v>
      </c>
      <c r="J85" s="815">
        <f t="shared" si="31"/>
        <v>32.993757802746572</v>
      </c>
      <c r="K85" s="815">
        <f t="shared" si="31"/>
        <v>30.352272727272727</v>
      </c>
      <c r="L85" s="815">
        <f t="shared" si="31"/>
        <v>32.142692750287679</v>
      </c>
      <c r="M85" s="815">
        <f t="shared" si="31"/>
        <v>26.970066518847009</v>
      </c>
      <c r="N85" s="815">
        <f t="shared" si="31"/>
        <v>29.653319283456266</v>
      </c>
      <c r="O85" s="815">
        <f t="shared" si="31"/>
        <v>33.223446893787575</v>
      </c>
      <c r="P85" s="815">
        <f t="shared" si="31"/>
        <v>32.599194360523668</v>
      </c>
      <c r="Q85" s="815">
        <f t="shared" si="31"/>
        <v>29.053201970443354</v>
      </c>
      <c r="R85" s="815">
        <f t="shared" si="31"/>
        <v>31.268762677484787</v>
      </c>
      <c r="S85" s="815">
        <f t="shared" si="31"/>
        <v>32.32979851537646</v>
      </c>
      <c r="T85" s="815">
        <f t="shared" si="31"/>
        <v>32.402999999999999</v>
      </c>
      <c r="U85" s="815">
        <f t="shared" si="31"/>
        <v>35.411428571428573</v>
      </c>
      <c r="V85" s="815">
        <f t="shared" si="31"/>
        <v>33.906220984215416</v>
      </c>
      <c r="W85" s="904">
        <f>V85/'2. Trade in Goods'!V115</f>
        <v>0.21204801087038574</v>
      </c>
      <c r="X85" s="392"/>
      <c r="Y85" s="392"/>
      <c r="Z85" s="392"/>
      <c r="AA85" s="392"/>
      <c r="AB85" s="392"/>
      <c r="AC85" s="392"/>
      <c r="AD85" s="392"/>
      <c r="AE85" s="392"/>
      <c r="AF85" s="392"/>
      <c r="AG85" s="392"/>
      <c r="AH85" s="392"/>
      <c r="AI85" s="392"/>
      <c r="AJ85" s="392"/>
      <c r="AK85" s="392"/>
      <c r="AL85" s="392"/>
      <c r="AM85" s="392"/>
      <c r="AN85" s="392"/>
      <c r="AO85" s="392"/>
      <c r="AP85" s="392"/>
      <c r="AQ85" s="392"/>
      <c r="AR85" s="392"/>
      <c r="AS85" s="392"/>
      <c r="AT85" s="392"/>
      <c r="AU85" s="392"/>
      <c r="AV85" s="392"/>
      <c r="AW85" s="392"/>
      <c r="AX85" s="392"/>
      <c r="AY85" s="392"/>
      <c r="AZ85" s="392"/>
      <c r="BA85" s="392"/>
      <c r="BB85" s="392"/>
      <c r="BC85" s="392"/>
      <c r="BD85" s="392"/>
      <c r="BE85" s="392"/>
      <c r="BF85" s="392"/>
      <c r="BG85" s="392"/>
      <c r="BH85" s="392"/>
      <c r="BI85" s="392"/>
      <c r="BJ85" s="392"/>
      <c r="BK85" s="392"/>
      <c r="BL85" s="392"/>
      <c r="BM85" s="392"/>
      <c r="BN85" s="392"/>
      <c r="BO85" s="392"/>
      <c r="BP85" s="392"/>
      <c r="BQ85" s="392"/>
      <c r="BR85" s="392"/>
      <c r="BS85" s="392"/>
      <c r="BT85" s="392"/>
      <c r="BU85" s="392"/>
      <c r="BV85" s="392"/>
      <c r="BW85" s="392"/>
      <c r="BX85" s="392"/>
      <c r="BY85" s="392"/>
      <c r="BZ85" s="392"/>
      <c r="CA85" s="392"/>
      <c r="CB85" s="392"/>
    </row>
    <row r="86" spans="1:80" s="899" customFormat="1" x14ac:dyDescent="0.3">
      <c r="A86" s="853" t="s">
        <v>375</v>
      </c>
      <c r="B86" s="815">
        <f>(B114/1000)/B131</f>
        <v>17.564276048714476</v>
      </c>
      <c r="C86" s="815">
        <f t="shared" ref="C86:F86" si="32">(C114/1000)/C131</f>
        <v>18.320754716981131</v>
      </c>
      <c r="D86" s="815">
        <f t="shared" si="32"/>
        <v>19.752631578947369</v>
      </c>
      <c r="E86" s="815">
        <f t="shared" si="32"/>
        <v>19.415686274509802</v>
      </c>
      <c r="F86" s="815">
        <f t="shared" si="32"/>
        <v>18.928381962864723</v>
      </c>
      <c r="G86" s="815">
        <f t="shared" ref="G86:V86" si="33">(G114/1000)/G131</f>
        <v>18.002610966057443</v>
      </c>
      <c r="H86" s="815">
        <f t="shared" si="33"/>
        <v>16.38684210526316</v>
      </c>
      <c r="I86" s="815">
        <f t="shared" si="33"/>
        <v>16.674300254452927</v>
      </c>
      <c r="J86" s="815">
        <f t="shared" si="33"/>
        <v>21.416978776529341</v>
      </c>
      <c r="K86" s="815">
        <f t="shared" si="33"/>
        <v>19.537878787878789</v>
      </c>
      <c r="L86" s="815">
        <f t="shared" si="33"/>
        <v>23.047180667433828</v>
      </c>
      <c r="M86" s="815">
        <f t="shared" si="33"/>
        <v>20.607538802660756</v>
      </c>
      <c r="N86" s="815">
        <f t="shared" si="33"/>
        <v>23.279241306638564</v>
      </c>
      <c r="O86" s="815">
        <f t="shared" si="33"/>
        <v>24.188376753507015</v>
      </c>
      <c r="P86" s="815">
        <f t="shared" si="33"/>
        <v>25.440080563947635</v>
      </c>
      <c r="Q86" s="815">
        <f t="shared" si="33"/>
        <v>24.498522167487685</v>
      </c>
      <c r="R86" s="815">
        <f t="shared" si="33"/>
        <v>23.243407707910752</v>
      </c>
      <c r="S86" s="815">
        <f t="shared" si="33"/>
        <v>18.542948038176036</v>
      </c>
      <c r="T86" s="815">
        <f t="shared" si="33"/>
        <v>19.052</v>
      </c>
      <c r="U86" s="815">
        <f t="shared" si="33"/>
        <v>20.982857142857142</v>
      </c>
      <c r="V86" s="815">
        <f t="shared" si="33"/>
        <v>24.593314763231199</v>
      </c>
      <c r="W86" s="904">
        <f>V86/'2. Trade in Goods'!V115</f>
        <v>0.15380550603619977</v>
      </c>
      <c r="X86" s="392"/>
      <c r="Y86" s="392"/>
      <c r="Z86" s="392"/>
      <c r="AA86" s="392"/>
      <c r="AB86" s="392"/>
      <c r="AC86" s="392"/>
      <c r="AD86" s="392"/>
      <c r="AE86" s="392"/>
      <c r="AF86" s="392"/>
      <c r="AG86" s="392"/>
      <c r="AH86" s="392"/>
      <c r="AI86" s="392"/>
      <c r="AJ86" s="392"/>
      <c r="AK86" s="392"/>
      <c r="AL86" s="392"/>
      <c r="AM86" s="392"/>
      <c r="AN86" s="392"/>
      <c r="AO86" s="392"/>
      <c r="AP86" s="392"/>
      <c r="AQ86" s="392"/>
      <c r="AR86" s="392"/>
      <c r="AS86" s="392"/>
      <c r="AT86" s="392"/>
      <c r="AU86" s="392"/>
      <c r="AV86" s="392"/>
      <c r="AW86" s="392"/>
      <c r="AX86" s="392"/>
      <c r="AY86" s="392"/>
      <c r="AZ86" s="392"/>
      <c r="BA86" s="392"/>
      <c r="BB86" s="392"/>
      <c r="BC86" s="392"/>
      <c r="BD86" s="392"/>
      <c r="BE86" s="392"/>
      <c r="BF86" s="392"/>
      <c r="BG86" s="392"/>
      <c r="BH86" s="392"/>
      <c r="BI86" s="392"/>
      <c r="BJ86" s="392"/>
      <c r="BK86" s="392"/>
      <c r="BL86" s="392"/>
      <c r="BM86" s="392"/>
      <c r="BN86" s="392"/>
      <c r="BO86" s="392"/>
      <c r="BP86" s="392"/>
      <c r="BQ86" s="392"/>
      <c r="BR86" s="392"/>
      <c r="BS86" s="392"/>
      <c r="BT86" s="392"/>
      <c r="BU86" s="392"/>
      <c r="BV86" s="392"/>
      <c r="BW86" s="392"/>
      <c r="BX86" s="392"/>
      <c r="BY86" s="392"/>
      <c r="BZ86" s="392"/>
      <c r="CA86" s="392"/>
      <c r="CB86" s="392"/>
    </row>
    <row r="87" spans="1:80" s="899" customFormat="1" x14ac:dyDescent="0.3">
      <c r="A87" s="853" t="s">
        <v>91</v>
      </c>
      <c r="B87" s="815">
        <f>(B115/1000)/B131</f>
        <v>22.434370771312583</v>
      </c>
      <c r="C87" s="815">
        <f t="shared" ref="C87:F87" si="34">(C115/1000)/C131</f>
        <v>22.969002695417789</v>
      </c>
      <c r="D87" s="815">
        <f t="shared" si="34"/>
        <v>24.401315789473685</v>
      </c>
      <c r="E87" s="815">
        <f t="shared" si="34"/>
        <v>24.516339869281044</v>
      </c>
      <c r="F87" s="815">
        <f t="shared" si="34"/>
        <v>24.46551724137931</v>
      </c>
      <c r="G87" s="815">
        <f t="shared" ref="G87:V87" si="35">(G115/1000)/G131</f>
        <v>23.960835509138384</v>
      </c>
      <c r="H87" s="815">
        <f t="shared" si="35"/>
        <v>24.127631578947369</v>
      </c>
      <c r="I87" s="815">
        <f t="shared" si="35"/>
        <v>24.840966921119595</v>
      </c>
      <c r="J87" s="815">
        <f t="shared" si="35"/>
        <v>35.873907615480654</v>
      </c>
      <c r="K87" s="815">
        <f t="shared" si="35"/>
        <v>22.133838383838384</v>
      </c>
      <c r="L87" s="815">
        <f t="shared" si="35"/>
        <v>20.937859608745683</v>
      </c>
      <c r="M87" s="815">
        <f t="shared" si="35"/>
        <v>19.233924611973393</v>
      </c>
      <c r="N87" s="815">
        <f t="shared" si="35"/>
        <v>20.536354056902002</v>
      </c>
      <c r="O87" s="815">
        <f t="shared" si="35"/>
        <v>22.635270541082164</v>
      </c>
      <c r="P87" s="815">
        <f t="shared" si="35"/>
        <v>21.361530715005035</v>
      </c>
      <c r="Q87" s="815">
        <f t="shared" si="35"/>
        <v>20.624630541871923</v>
      </c>
      <c r="R87" s="815">
        <f t="shared" si="35"/>
        <v>19.114604462474645</v>
      </c>
      <c r="S87" s="815">
        <f t="shared" si="35"/>
        <v>18.986214209968189</v>
      </c>
      <c r="T87" s="815">
        <f t="shared" si="35"/>
        <v>19.515999999999998</v>
      </c>
      <c r="U87" s="815">
        <f t="shared" si="35"/>
        <v>23.060952380952379</v>
      </c>
      <c r="V87" s="815">
        <f t="shared" si="35"/>
        <v>22.732590529247911</v>
      </c>
      <c r="W87" s="904">
        <f>V87/'2. Trade in Goods'!V115</f>
        <v>0.14216861872934947</v>
      </c>
      <c r="X87" s="392"/>
      <c r="Y87" s="392"/>
      <c r="Z87" s="392"/>
      <c r="AA87" s="392"/>
      <c r="AB87" s="392"/>
      <c r="AC87" s="392"/>
      <c r="AD87" s="392"/>
      <c r="AE87" s="392"/>
      <c r="AF87" s="392"/>
      <c r="AG87" s="392"/>
      <c r="AH87" s="392"/>
      <c r="AI87" s="392"/>
      <c r="AJ87" s="392"/>
      <c r="AK87" s="392"/>
      <c r="AL87" s="392"/>
      <c r="AM87" s="392"/>
      <c r="AN87" s="392"/>
      <c r="AO87" s="392"/>
      <c r="AP87" s="392"/>
      <c r="AQ87" s="392"/>
      <c r="AR87" s="392"/>
      <c r="AS87" s="392"/>
      <c r="AT87" s="392"/>
      <c r="AU87" s="392"/>
      <c r="AV87" s="392"/>
      <c r="AW87" s="392"/>
      <c r="AX87" s="392"/>
      <c r="AY87" s="392"/>
      <c r="AZ87" s="392"/>
      <c r="BA87" s="392"/>
      <c r="BB87" s="392"/>
      <c r="BC87" s="392"/>
      <c r="BD87" s="392"/>
      <c r="BE87" s="392"/>
      <c r="BF87" s="392"/>
      <c r="BG87" s="392"/>
      <c r="BH87" s="392"/>
      <c r="BI87" s="392"/>
      <c r="BJ87" s="392"/>
      <c r="BK87" s="392"/>
      <c r="BL87" s="392"/>
      <c r="BM87" s="392"/>
      <c r="BN87" s="392"/>
      <c r="BO87" s="392"/>
      <c r="BP87" s="392"/>
      <c r="BQ87" s="392"/>
      <c r="BR87" s="392"/>
      <c r="BS87" s="392"/>
      <c r="BT87" s="392"/>
      <c r="BU87" s="392"/>
      <c r="BV87" s="392"/>
      <c r="BW87" s="392"/>
      <c r="BX87" s="392"/>
      <c r="BY87" s="392"/>
      <c r="BZ87" s="392"/>
      <c r="CA87" s="392"/>
      <c r="CB87" s="392"/>
    </row>
    <row r="88" spans="1:80" s="899" customFormat="1" x14ac:dyDescent="0.3">
      <c r="A88" s="853" t="s">
        <v>889</v>
      </c>
      <c r="B88" s="815">
        <f>(B116/1000)/B131</f>
        <v>13.759133964817318</v>
      </c>
      <c r="C88" s="815">
        <f t="shared" ref="C88:F88" si="36">(C116/1000)/C131</f>
        <v>15.448787061994608</v>
      </c>
      <c r="D88" s="815">
        <f t="shared" si="36"/>
        <v>17.142105263157895</v>
      </c>
      <c r="E88" s="815">
        <f t="shared" si="36"/>
        <v>19.397385620915031</v>
      </c>
      <c r="F88" s="815">
        <f t="shared" si="36"/>
        <v>21.76392572944297</v>
      </c>
      <c r="G88" s="815">
        <f t="shared" ref="G88:V88" si="37">(G116/1000)/G131</f>
        <v>17.412532637075721</v>
      </c>
      <c r="H88" s="815">
        <f t="shared" si="37"/>
        <v>19.302631578947366</v>
      </c>
      <c r="I88" s="815">
        <f t="shared" si="37"/>
        <v>21.506361323155218</v>
      </c>
      <c r="J88" s="815">
        <f t="shared" si="37"/>
        <v>22.342072409488143</v>
      </c>
      <c r="K88" s="815">
        <f t="shared" si="37"/>
        <v>23.251262626262623</v>
      </c>
      <c r="L88" s="815">
        <f t="shared" si="37"/>
        <v>22.370540851553507</v>
      </c>
      <c r="M88" s="815">
        <f t="shared" si="37"/>
        <v>17.961197339246119</v>
      </c>
      <c r="N88" s="815">
        <f t="shared" si="37"/>
        <v>18.367755532139093</v>
      </c>
      <c r="O88" s="815">
        <f t="shared" si="37"/>
        <v>18.758517034068138</v>
      </c>
      <c r="P88" s="815">
        <f t="shared" si="37"/>
        <v>18.006042296072508</v>
      </c>
      <c r="Q88" s="815">
        <f t="shared" si="37"/>
        <v>18.91625615763547</v>
      </c>
      <c r="R88" s="815">
        <f t="shared" si="37"/>
        <v>18.654158215010142</v>
      </c>
      <c r="S88" s="815">
        <f t="shared" si="37"/>
        <v>17.920466595970311</v>
      </c>
      <c r="T88" s="815">
        <f t="shared" si="37"/>
        <v>16.981999999999999</v>
      </c>
      <c r="U88" s="815">
        <f t="shared" si="37"/>
        <v>19.456190476190475</v>
      </c>
      <c r="V88" s="815">
        <f t="shared" si="37"/>
        <v>20.623026926648095</v>
      </c>
      <c r="W88" s="904">
        <f>V88/'2. Trade in Goods'!V115</f>
        <v>0.12897550098425767</v>
      </c>
      <c r="X88" s="392"/>
      <c r="Y88" s="392"/>
      <c r="Z88" s="392"/>
      <c r="AA88" s="392"/>
      <c r="AB88" s="392"/>
      <c r="AC88" s="392"/>
      <c r="AD88" s="392"/>
      <c r="AE88" s="392"/>
      <c r="AF88" s="392"/>
      <c r="AG88" s="392"/>
      <c r="AH88" s="392"/>
      <c r="AI88" s="392"/>
      <c r="AJ88" s="392"/>
      <c r="AK88" s="392"/>
      <c r="AL88" s="392"/>
      <c r="AM88" s="392"/>
      <c r="AN88" s="392"/>
      <c r="AO88" s="392"/>
      <c r="AP88" s="392"/>
      <c r="AQ88" s="392"/>
      <c r="AR88" s="392"/>
      <c r="AS88" s="392"/>
      <c r="AT88" s="392"/>
      <c r="AU88" s="392"/>
      <c r="AV88" s="392"/>
      <c r="AW88" s="392"/>
      <c r="AX88" s="392"/>
      <c r="AY88" s="392"/>
      <c r="AZ88" s="392"/>
      <c r="BA88" s="392"/>
      <c r="BB88" s="392"/>
      <c r="BC88" s="392"/>
      <c r="BD88" s="392"/>
      <c r="BE88" s="392"/>
      <c r="BF88" s="392"/>
      <c r="BG88" s="392"/>
      <c r="BH88" s="392"/>
      <c r="BI88" s="392"/>
      <c r="BJ88" s="392"/>
      <c r="BK88" s="392"/>
      <c r="BL88" s="392"/>
      <c r="BM88" s="392"/>
      <c r="BN88" s="392"/>
      <c r="BO88" s="392"/>
      <c r="BP88" s="392"/>
      <c r="BQ88" s="392"/>
      <c r="BR88" s="392"/>
      <c r="BS88" s="392"/>
      <c r="BT88" s="392"/>
      <c r="BU88" s="392"/>
      <c r="BV88" s="392"/>
      <c r="BW88" s="392"/>
      <c r="BX88" s="392"/>
      <c r="BY88" s="392"/>
      <c r="BZ88" s="392"/>
      <c r="CA88" s="392"/>
      <c r="CB88" s="392"/>
    </row>
    <row r="89" spans="1:80" s="899" customFormat="1" x14ac:dyDescent="0.3">
      <c r="A89" s="853" t="s">
        <v>374</v>
      </c>
      <c r="B89" s="815">
        <f>(B117/1000)/B131</f>
        <v>11.652232746955344</v>
      </c>
      <c r="C89" s="815">
        <f t="shared" ref="C89:F89" si="38">(C117/1000)/C131</f>
        <v>10.664420485175203</v>
      </c>
      <c r="D89" s="815">
        <f t="shared" si="38"/>
        <v>11.189473684210526</v>
      </c>
      <c r="E89" s="815">
        <f t="shared" si="38"/>
        <v>10.865359477124182</v>
      </c>
      <c r="F89" s="815">
        <f t="shared" si="38"/>
        <v>11.281167108753316</v>
      </c>
      <c r="G89" s="815">
        <f t="shared" ref="G89:V89" si="39">(G117/1000)/G131</f>
        <v>11.318537859007835</v>
      </c>
      <c r="H89" s="815">
        <f t="shared" si="39"/>
        <v>11.15657894736842</v>
      </c>
      <c r="I89" s="815">
        <f t="shared" si="39"/>
        <v>11.226463104325701</v>
      </c>
      <c r="J89" s="815">
        <f t="shared" si="39"/>
        <v>11.92634207240949</v>
      </c>
      <c r="K89" s="815">
        <f t="shared" si="39"/>
        <v>11.626262626262626</v>
      </c>
      <c r="L89" s="815">
        <f t="shared" si="39"/>
        <v>10.83429228998849</v>
      </c>
      <c r="M89" s="815">
        <f t="shared" si="39"/>
        <v>9.2937915742793784</v>
      </c>
      <c r="N89" s="815">
        <f t="shared" si="39"/>
        <v>9.4309799789251834</v>
      </c>
      <c r="O89" s="815">
        <f t="shared" si="39"/>
        <v>10.217434869739478</v>
      </c>
      <c r="P89" s="815">
        <f t="shared" si="39"/>
        <v>8.1440080563947639</v>
      </c>
      <c r="Q89" s="815">
        <f t="shared" si="39"/>
        <v>8.3389162561576367</v>
      </c>
      <c r="R89" s="815">
        <f t="shared" si="39"/>
        <v>8.9208924949290047</v>
      </c>
      <c r="S89" s="815">
        <f t="shared" si="39"/>
        <v>8.8907741251325572</v>
      </c>
      <c r="T89" s="815">
        <f t="shared" si="39"/>
        <v>9.6780000000000008</v>
      </c>
      <c r="U89" s="815">
        <f t="shared" si="39"/>
        <v>9.8666666666666654</v>
      </c>
      <c r="V89" s="815">
        <f t="shared" si="39"/>
        <v>9.9350046425255343</v>
      </c>
      <c r="W89" s="904">
        <f>V89/'2. Trade in Goods'!V115</f>
        <v>6.2133080929789614E-2</v>
      </c>
      <c r="X89" s="392"/>
      <c r="Y89" s="392"/>
      <c r="Z89" s="392"/>
      <c r="AA89" s="392"/>
      <c r="AB89" s="392"/>
      <c r="AC89" s="392"/>
      <c r="AD89" s="392"/>
      <c r="AE89" s="392"/>
      <c r="AF89" s="392"/>
      <c r="AG89" s="392"/>
      <c r="AH89" s="392"/>
      <c r="AI89" s="392"/>
      <c r="AJ89" s="392"/>
      <c r="AK89" s="392"/>
      <c r="AL89" s="392"/>
      <c r="AM89" s="392"/>
      <c r="AN89" s="392"/>
      <c r="AO89" s="392"/>
      <c r="AP89" s="392"/>
      <c r="AQ89" s="392"/>
      <c r="AR89" s="392"/>
      <c r="AS89" s="392"/>
      <c r="AT89" s="392"/>
      <c r="AU89" s="392"/>
      <c r="AV89" s="392"/>
      <c r="AW89" s="392"/>
      <c r="AX89" s="392"/>
      <c r="AY89" s="392"/>
      <c r="AZ89" s="392"/>
      <c r="BA89" s="392"/>
      <c r="BB89" s="392"/>
      <c r="BC89" s="392"/>
      <c r="BD89" s="392"/>
      <c r="BE89" s="392"/>
      <c r="BF89" s="392"/>
      <c r="BG89" s="392"/>
      <c r="BH89" s="392"/>
      <c r="BI89" s="392"/>
      <c r="BJ89" s="392"/>
      <c r="BK89" s="392"/>
      <c r="BL89" s="392"/>
      <c r="BM89" s="392"/>
      <c r="BN89" s="392"/>
      <c r="BO89" s="392"/>
      <c r="BP89" s="392"/>
      <c r="BQ89" s="392"/>
      <c r="BR89" s="392"/>
      <c r="BS89" s="392"/>
      <c r="BT89" s="392"/>
      <c r="BU89" s="392"/>
      <c r="BV89" s="392"/>
      <c r="BW89" s="392"/>
      <c r="BX89" s="392"/>
      <c r="BY89" s="392"/>
      <c r="BZ89" s="392"/>
      <c r="CA89" s="392"/>
      <c r="CB89" s="392"/>
    </row>
    <row r="90" spans="1:80" ht="15" thickBot="1" x14ac:dyDescent="0.35">
      <c r="A90" s="855" t="s">
        <v>93</v>
      </c>
      <c r="B90" s="910">
        <f>(B118/1000)/B131</f>
        <v>9.7198917456021636</v>
      </c>
      <c r="C90" s="910">
        <f t="shared" ref="C90:F90" si="40">(C118/1000)/C131</f>
        <v>10.141509433962264</v>
      </c>
      <c r="D90" s="910">
        <f t="shared" si="40"/>
        <v>10.93157894736842</v>
      </c>
      <c r="E90" s="910">
        <f t="shared" si="40"/>
        <v>11.05359477124183</v>
      </c>
      <c r="F90" s="910">
        <f t="shared" si="40"/>
        <v>11.40053050397878</v>
      </c>
      <c r="G90" s="910">
        <f t="shared" ref="G90:V90" si="41">(G118/1000)/G131</f>
        <v>11.887728459530027</v>
      </c>
      <c r="H90" s="910">
        <f t="shared" si="41"/>
        <v>12.313157894736843</v>
      </c>
      <c r="I90" s="910">
        <f t="shared" si="41"/>
        <v>13.896946564885498</v>
      </c>
      <c r="J90" s="910">
        <f t="shared" si="41"/>
        <v>15.895131086142323</v>
      </c>
      <c r="K90" s="910">
        <f t="shared" si="41"/>
        <v>12.819444444444445</v>
      </c>
      <c r="L90" s="910">
        <f t="shared" si="41"/>
        <v>11.82163406214039</v>
      </c>
      <c r="M90" s="910">
        <f t="shared" si="41"/>
        <v>10.364745011086475</v>
      </c>
      <c r="N90" s="910">
        <f t="shared" si="41"/>
        <v>10.58377239199157</v>
      </c>
      <c r="O90" s="910">
        <f t="shared" si="41"/>
        <v>9.9749498997995989</v>
      </c>
      <c r="P90" s="910">
        <f t="shared" si="41"/>
        <v>8.6062437059415906</v>
      </c>
      <c r="Q90" s="910">
        <f t="shared" si="41"/>
        <v>8.6926108374384246</v>
      </c>
      <c r="R90" s="910">
        <f t="shared" si="41"/>
        <v>9.1075050709939145</v>
      </c>
      <c r="S90" s="910">
        <f t="shared" si="41"/>
        <v>9.3711558854718984</v>
      </c>
      <c r="T90" s="910">
        <f t="shared" si="41"/>
        <v>9.4209999999999994</v>
      </c>
      <c r="U90" s="910">
        <f t="shared" si="41"/>
        <v>9.8561904761904753</v>
      </c>
      <c r="V90" s="910">
        <f t="shared" si="41"/>
        <v>9.6453110492107701</v>
      </c>
      <c r="W90" s="907">
        <f>V90/'2. Trade in Goods'!V115</f>
        <v>6.0321349971836864E-2</v>
      </c>
      <c r="X90" s="392"/>
      <c r="Y90" s="392"/>
      <c r="Z90" s="392"/>
      <c r="AA90" s="392"/>
      <c r="AB90" s="392"/>
      <c r="AC90" s="392"/>
      <c r="AD90" s="392"/>
      <c r="AE90" s="392"/>
      <c r="AF90" s="392"/>
      <c r="AG90" s="392"/>
      <c r="AH90" s="392"/>
      <c r="AI90" s="392"/>
      <c r="AJ90" s="392"/>
      <c r="AK90" s="392"/>
      <c r="AL90" s="392"/>
      <c r="AM90" s="392"/>
      <c r="AN90" s="392"/>
      <c r="AO90" s="392"/>
      <c r="AP90" s="392"/>
      <c r="AQ90" s="392"/>
      <c r="AR90" s="392"/>
      <c r="AS90" s="392"/>
      <c r="AT90" s="392"/>
      <c r="AU90" s="392"/>
      <c r="AV90" s="392"/>
      <c r="AW90" s="392"/>
      <c r="AX90" s="392"/>
      <c r="AY90" s="392"/>
      <c r="AZ90" s="392"/>
      <c r="BA90" s="392"/>
      <c r="BB90" s="392"/>
      <c r="BC90" s="392"/>
      <c r="BD90" s="392"/>
      <c r="BE90" s="392"/>
      <c r="BF90" s="392"/>
      <c r="BG90" s="392"/>
      <c r="BH90" s="392"/>
      <c r="BI90" s="392"/>
      <c r="BJ90" s="392"/>
      <c r="BK90" s="392"/>
      <c r="BL90" s="392"/>
      <c r="BM90" s="392"/>
      <c r="BN90" s="392"/>
      <c r="BO90" s="392"/>
      <c r="BP90" s="392"/>
      <c r="BQ90" s="392"/>
      <c r="BR90" s="392"/>
      <c r="BS90" s="392"/>
      <c r="BT90" s="392"/>
      <c r="BU90" s="392"/>
      <c r="BV90" s="392"/>
      <c r="BW90" s="392"/>
      <c r="BX90" s="392"/>
      <c r="BY90" s="392"/>
      <c r="BZ90" s="392"/>
      <c r="CA90" s="392"/>
      <c r="CB90" s="392"/>
    </row>
    <row r="92" spans="1:80" ht="18" x14ac:dyDescent="0.35">
      <c r="A92" s="201" t="s">
        <v>951</v>
      </c>
      <c r="AA92" s="6"/>
    </row>
    <row r="93" spans="1:80" s="106" customFormat="1" x14ac:dyDescent="0.3">
      <c r="A93" s="104" t="s">
        <v>953</v>
      </c>
      <c r="B93" s="105">
        <v>1998</v>
      </c>
      <c r="C93" s="105" t="s">
        <v>1</v>
      </c>
      <c r="D93" s="105" t="s">
        <v>2</v>
      </c>
      <c r="E93" s="105" t="s">
        <v>3</v>
      </c>
      <c r="F93" s="105" t="s">
        <v>4</v>
      </c>
      <c r="G93" s="105" t="s">
        <v>5</v>
      </c>
      <c r="H93" s="105" t="s">
        <v>6</v>
      </c>
      <c r="I93" s="105" t="s">
        <v>7</v>
      </c>
      <c r="J93" s="105" t="s">
        <v>8</v>
      </c>
      <c r="K93" s="105" t="s">
        <v>9</v>
      </c>
      <c r="L93" s="105" t="s">
        <v>10</v>
      </c>
      <c r="M93" s="105" t="s">
        <v>11</v>
      </c>
      <c r="N93" s="105" t="s">
        <v>12</v>
      </c>
      <c r="O93" s="105" t="s">
        <v>13</v>
      </c>
      <c r="P93" s="105" t="s">
        <v>14</v>
      </c>
      <c r="Q93" s="105" t="s">
        <v>15</v>
      </c>
      <c r="R93" s="105" t="s">
        <v>16</v>
      </c>
      <c r="S93" s="105" t="s">
        <v>17</v>
      </c>
      <c r="T93" s="105" t="s">
        <v>18</v>
      </c>
      <c r="U93" s="105">
        <v>2017</v>
      </c>
      <c r="V93" s="105">
        <v>2018</v>
      </c>
      <c r="AB93" s="749">
        <v>2019</v>
      </c>
      <c r="AC93" s="749">
        <v>2020</v>
      </c>
      <c r="AD93" s="749">
        <v>2021</v>
      </c>
      <c r="AE93" s="749">
        <v>2022</v>
      </c>
      <c r="AF93" s="749">
        <v>2023</v>
      </c>
      <c r="AG93" s="749">
        <v>2024</v>
      </c>
      <c r="AH93" s="749">
        <v>2025</v>
      </c>
      <c r="AI93" s="749">
        <v>2026</v>
      </c>
      <c r="AJ93" s="749">
        <v>2027</v>
      </c>
      <c r="AK93" s="749">
        <v>2028</v>
      </c>
      <c r="AL93" s="749">
        <v>2029</v>
      </c>
      <c r="AM93" s="749">
        <v>2030</v>
      </c>
      <c r="AN93" s="749">
        <v>2031</v>
      </c>
      <c r="AO93" s="749">
        <v>2032</v>
      </c>
      <c r="AP93" s="749">
        <v>2033</v>
      </c>
      <c r="AQ93" s="749">
        <v>2034</v>
      </c>
      <c r="AR93" s="749">
        <v>2035</v>
      </c>
    </row>
    <row r="94" spans="1:80" x14ac:dyDescent="0.3">
      <c r="A94" s="80" t="s">
        <v>926</v>
      </c>
      <c r="B94" s="580">
        <f>'8. Country data'!B56</f>
        <v>22743</v>
      </c>
      <c r="C94" s="580">
        <f>'8. Country data'!C56</f>
        <v>25285</v>
      </c>
      <c r="D94" s="580">
        <f>'8. Country data'!D56</f>
        <v>30222</v>
      </c>
      <c r="E94" s="580">
        <f>'8. Country data'!E56</f>
        <v>29995</v>
      </c>
      <c r="F94" s="580">
        <f>'8. Country data'!F56</f>
        <v>28543</v>
      </c>
      <c r="G94" s="580">
        <f>'8. Country data'!G56</f>
        <v>28847</v>
      </c>
      <c r="H94" s="580">
        <f>'8. Country data'!H56</f>
        <v>28397</v>
      </c>
      <c r="I94" s="580">
        <f>'8. Country data'!I56</f>
        <v>31590</v>
      </c>
      <c r="J94" s="580">
        <f>'8. Country data'!J56</f>
        <v>32136</v>
      </c>
      <c r="K94" s="580">
        <f>'8. Country data'!K56</f>
        <v>32656</v>
      </c>
      <c r="L94" s="580">
        <f>'8. Country data'!L56</f>
        <v>35405</v>
      </c>
      <c r="M94" s="580">
        <f>'8. Country data'!M56</f>
        <v>34117</v>
      </c>
      <c r="N94" s="580">
        <f>'8. Country data'!N56</f>
        <v>37914</v>
      </c>
      <c r="O94" s="580">
        <f>'8. Country data'!O56</f>
        <v>40244</v>
      </c>
      <c r="P94" s="580">
        <f>'8. Country data'!P56</f>
        <v>40661</v>
      </c>
      <c r="Q94" s="580">
        <f>'8. Country data'!Q56</f>
        <v>40622</v>
      </c>
      <c r="R94" s="580">
        <f>'8. Country data'!R56</f>
        <v>40169</v>
      </c>
      <c r="S94" s="580">
        <f>'8. Country data'!S56</f>
        <v>47942</v>
      </c>
      <c r="T94" s="580">
        <f>'8. Country data'!T56</f>
        <v>48543</v>
      </c>
      <c r="U94" s="580">
        <f>'8. Country data'!U56</f>
        <v>51388</v>
      </c>
      <c r="V94" s="580">
        <f>'8. Country data'!V56</f>
        <v>54908</v>
      </c>
      <c r="W94" s="839">
        <f>V94/X94</f>
        <v>0.30771127549876709</v>
      </c>
      <c r="X94" s="465">
        <v>178440</v>
      </c>
      <c r="AB94" s="465" t="e">
        <f>V94+(AB98*V94)</f>
        <v>#REF!</v>
      </c>
      <c r="AC94" s="465" t="e">
        <f t="shared" ref="AC94:AR94" si="42">(AB94*AC98)+AB94</f>
        <v>#REF!</v>
      </c>
      <c r="AD94" s="465" t="e">
        <f t="shared" si="42"/>
        <v>#REF!</v>
      </c>
      <c r="AE94" s="465" t="e">
        <f t="shared" si="42"/>
        <v>#REF!</v>
      </c>
      <c r="AF94" s="465" t="e">
        <f t="shared" si="42"/>
        <v>#REF!</v>
      </c>
      <c r="AG94" s="465" t="e">
        <f t="shared" si="42"/>
        <v>#REF!</v>
      </c>
      <c r="AH94" s="465" t="e">
        <f t="shared" si="42"/>
        <v>#REF!</v>
      </c>
      <c r="AI94" s="465" t="e">
        <f t="shared" si="42"/>
        <v>#REF!</v>
      </c>
      <c r="AJ94" s="465" t="e">
        <f t="shared" si="42"/>
        <v>#REF!</v>
      </c>
      <c r="AK94" s="465" t="e">
        <f t="shared" si="42"/>
        <v>#REF!</v>
      </c>
      <c r="AL94" s="465" t="e">
        <f t="shared" si="42"/>
        <v>#REF!</v>
      </c>
      <c r="AM94" s="465" t="e">
        <f t="shared" si="42"/>
        <v>#REF!</v>
      </c>
      <c r="AN94" s="465" t="e">
        <f t="shared" si="42"/>
        <v>#REF!</v>
      </c>
      <c r="AO94" s="465" t="e">
        <f t="shared" si="42"/>
        <v>#REF!</v>
      </c>
      <c r="AP94" s="465" t="e">
        <f t="shared" si="42"/>
        <v>#REF!</v>
      </c>
      <c r="AQ94" s="465" t="e">
        <f t="shared" si="42"/>
        <v>#REF!</v>
      </c>
      <c r="AR94" s="465" t="e">
        <f t="shared" si="42"/>
        <v>#REF!</v>
      </c>
    </row>
    <row r="95" spans="1:80" x14ac:dyDescent="0.3">
      <c r="A95" s="80" t="s">
        <v>397</v>
      </c>
      <c r="B95" s="580">
        <f>'8. Country data'!B57</f>
        <v>930</v>
      </c>
      <c r="C95" s="580">
        <f>'8. Country data'!C57</f>
        <v>1398</v>
      </c>
      <c r="D95" s="580">
        <f>'8. Country data'!D57</f>
        <v>1733</v>
      </c>
      <c r="E95" s="580">
        <f>'8. Country data'!E57</f>
        <v>1886</v>
      </c>
      <c r="F95" s="580">
        <f>'8. Country data'!F57</f>
        <v>1594</v>
      </c>
      <c r="G95" s="580">
        <f>'8. Country data'!G57</f>
        <v>2085</v>
      </c>
      <c r="H95" s="580">
        <f>'8. Country data'!H57</f>
        <v>2854</v>
      </c>
      <c r="I95" s="580">
        <f>'8. Country data'!I57</f>
        <v>3074</v>
      </c>
      <c r="J95" s="580">
        <f>'8. Country data'!J57</f>
        <v>3750</v>
      </c>
      <c r="K95" s="580">
        <f>'8. Country data'!K57</f>
        <v>4876</v>
      </c>
      <c r="L95" s="580">
        <f>'8. Country data'!L57</f>
        <v>6053</v>
      </c>
      <c r="M95" s="580">
        <f>'8. Country data'!M57</f>
        <v>5616</v>
      </c>
      <c r="N95" s="580">
        <f>'8. Country data'!N57</f>
        <v>8256</v>
      </c>
      <c r="O95" s="580">
        <f>'8. Country data'!O57</f>
        <v>10536</v>
      </c>
      <c r="P95" s="580">
        <f>'8. Country data'!P57</f>
        <v>11540</v>
      </c>
      <c r="Q95" s="580">
        <f>'8. Country data'!Q57</f>
        <v>13709</v>
      </c>
      <c r="R95" s="580">
        <f>'8. Country data'!R57</f>
        <v>15682</v>
      </c>
      <c r="S95" s="580">
        <f>'8. Country data'!S57</f>
        <v>13207</v>
      </c>
      <c r="T95" s="580">
        <f>'8. Country data'!T57</f>
        <v>13652</v>
      </c>
      <c r="U95" s="580">
        <f>'8. Country data'!U57</f>
        <v>17958</v>
      </c>
      <c r="V95" s="580">
        <f>'8. Country data'!V57</f>
        <v>18511</v>
      </c>
      <c r="W95" s="839">
        <f t="shared" ref="W95:W112" si="43">V95/X95</f>
        <v>0.10373795113203317</v>
      </c>
      <c r="X95" s="465">
        <v>178440</v>
      </c>
      <c r="AB95" s="465" t="e">
        <f>V95+(AB99*V95)</f>
        <v>#REF!</v>
      </c>
      <c r="AC95" s="465" t="e">
        <f t="shared" ref="AC95:AR95" si="44">(AB95*AC99)+AB95</f>
        <v>#REF!</v>
      </c>
      <c r="AD95" s="465" t="e">
        <f t="shared" si="44"/>
        <v>#REF!</v>
      </c>
      <c r="AE95" s="465" t="e">
        <f t="shared" si="44"/>
        <v>#REF!</v>
      </c>
      <c r="AF95" s="465" t="e">
        <f t="shared" si="44"/>
        <v>#REF!</v>
      </c>
      <c r="AG95" s="465" t="e">
        <f t="shared" si="44"/>
        <v>#REF!</v>
      </c>
      <c r="AH95" s="465" t="e">
        <f t="shared" si="44"/>
        <v>#REF!</v>
      </c>
      <c r="AI95" s="465" t="e">
        <f t="shared" si="44"/>
        <v>#REF!</v>
      </c>
      <c r="AJ95" s="465" t="e">
        <f t="shared" si="44"/>
        <v>#REF!</v>
      </c>
      <c r="AK95" s="465" t="e">
        <f t="shared" si="44"/>
        <v>#REF!</v>
      </c>
      <c r="AL95" s="465" t="e">
        <f t="shared" si="44"/>
        <v>#REF!</v>
      </c>
      <c r="AM95" s="465" t="e">
        <f t="shared" si="44"/>
        <v>#REF!</v>
      </c>
      <c r="AN95" s="465" t="e">
        <f t="shared" si="44"/>
        <v>#REF!</v>
      </c>
      <c r="AO95" s="465" t="e">
        <f t="shared" si="44"/>
        <v>#REF!</v>
      </c>
      <c r="AP95" s="465" t="e">
        <f t="shared" si="44"/>
        <v>#REF!</v>
      </c>
      <c r="AQ95" s="465" t="e">
        <f t="shared" si="44"/>
        <v>#REF!</v>
      </c>
      <c r="AR95" s="465" t="e">
        <f t="shared" si="44"/>
        <v>#REF!</v>
      </c>
    </row>
    <row r="96" spans="1:80" x14ac:dyDescent="0.3">
      <c r="A96" s="80" t="s">
        <v>398</v>
      </c>
      <c r="B96" s="580">
        <f>'8. Country data'!B58</f>
        <v>2956</v>
      </c>
      <c r="C96" s="580">
        <f>'8. Country data'!C58</f>
        <v>2532</v>
      </c>
      <c r="D96" s="580">
        <f>'8. Country data'!D58</f>
        <v>2850</v>
      </c>
      <c r="E96" s="580">
        <f>'8. Country data'!E58</f>
        <v>2855</v>
      </c>
      <c r="F96" s="580">
        <f>'8. Country data'!F58</f>
        <v>2586</v>
      </c>
      <c r="G96" s="580">
        <f>'8. Country data'!G58</f>
        <v>2663</v>
      </c>
      <c r="H96" s="580">
        <f>'8. Country data'!H58</f>
        <v>2801</v>
      </c>
      <c r="I96" s="580">
        <f>'8. Country data'!I58</f>
        <v>3181</v>
      </c>
      <c r="J96" s="580">
        <f>'8. Country data'!J58</f>
        <v>2910</v>
      </c>
      <c r="K96" s="580">
        <f>'8. Country data'!K58</f>
        <v>2787</v>
      </c>
      <c r="L96" s="580">
        <f>'8. Country data'!L58</f>
        <v>3625</v>
      </c>
      <c r="M96" s="580">
        <f>'8. Country data'!M58</f>
        <v>3698</v>
      </c>
      <c r="N96" s="580">
        <f>'8. Country data'!N58</f>
        <v>4386</v>
      </c>
      <c r="O96" s="580">
        <f>'8. Country data'!O58</f>
        <v>5445</v>
      </c>
      <c r="P96" s="580">
        <f>'8. Country data'!P58</f>
        <v>5334</v>
      </c>
      <c r="Q96" s="580">
        <f>'8. Country data'!Q58</f>
        <v>5542</v>
      </c>
      <c r="R96" s="580">
        <f>'8. Country data'!R58</f>
        <v>5116</v>
      </c>
      <c r="S96" s="580">
        <f>'8. Country data'!S58</f>
        <v>6048</v>
      </c>
      <c r="T96" s="580">
        <f>'8. Country data'!T58</f>
        <v>6441</v>
      </c>
      <c r="U96" s="580">
        <f>'8. Country data'!U58</f>
        <v>7908</v>
      </c>
      <c r="V96" s="580">
        <f>'8. Country data'!V58</f>
        <v>8334</v>
      </c>
      <c r="W96" s="839">
        <f t="shared" si="43"/>
        <v>4.6704774714189642E-2</v>
      </c>
      <c r="X96" s="465">
        <v>178440</v>
      </c>
    </row>
    <row r="97" spans="1:97" x14ac:dyDescent="0.3">
      <c r="A97" s="80" t="s">
        <v>389</v>
      </c>
      <c r="B97" s="580">
        <f>'8. Country data'!B59</f>
        <v>2835</v>
      </c>
      <c r="C97" s="580">
        <f>'8. Country data'!C59</f>
        <v>2701</v>
      </c>
      <c r="D97" s="580">
        <f>'8. Country data'!D59</f>
        <v>3225</v>
      </c>
      <c r="E97" s="580">
        <f>'8. Country data'!E59</f>
        <v>3801</v>
      </c>
      <c r="F97" s="580">
        <f>'8. Country data'!F59</f>
        <v>3146</v>
      </c>
      <c r="G97" s="580">
        <f>'8. Country data'!G59</f>
        <v>2779</v>
      </c>
      <c r="H97" s="580">
        <f>'8. Country data'!H59</f>
        <v>2745</v>
      </c>
      <c r="I97" s="580">
        <f>'8. Country data'!I59</f>
        <v>4898</v>
      </c>
      <c r="J97" s="580">
        <f>'8. Country data'!J59</f>
        <v>3964</v>
      </c>
      <c r="K97" s="580">
        <f>'8. Country data'!K59</f>
        <v>3306</v>
      </c>
      <c r="L97" s="580">
        <f>'8. Country data'!L59</f>
        <v>4123</v>
      </c>
      <c r="M97" s="580">
        <f>'8. Country data'!M59</f>
        <v>3488</v>
      </c>
      <c r="N97" s="580">
        <f>'8. Country data'!N59</f>
        <v>4779</v>
      </c>
      <c r="O97" s="580">
        <f>'8. Country data'!O59</f>
        <v>4930</v>
      </c>
      <c r="P97" s="580">
        <f>'8. Country data'!P59</f>
        <v>5507</v>
      </c>
      <c r="Q97" s="580">
        <f>'8. Country data'!Q59</f>
        <v>5845</v>
      </c>
      <c r="R97" s="580">
        <f>'8. Country data'!R59</f>
        <v>6027</v>
      </c>
      <c r="S97" s="580">
        <f>'8. Country data'!S59</f>
        <v>9952</v>
      </c>
      <c r="T97" s="580">
        <f>'8. Country data'!T59</f>
        <v>8596</v>
      </c>
      <c r="U97" s="580">
        <f>'8. Country data'!U59</f>
        <v>7501</v>
      </c>
      <c r="V97" s="580">
        <f>'8. Country data'!V59</f>
        <v>7295</v>
      </c>
      <c r="W97" s="839">
        <f t="shared" si="43"/>
        <v>4.0882089217664203E-2</v>
      </c>
      <c r="X97" s="465">
        <v>178440</v>
      </c>
    </row>
    <row r="98" spans="1:97" s="2" customFormat="1" ht="13.2" customHeight="1" x14ac:dyDescent="0.3">
      <c r="A98" s="80" t="s">
        <v>401</v>
      </c>
      <c r="B98" s="580">
        <f>'8. Country data'!B60</f>
        <v>3600</v>
      </c>
      <c r="C98" s="580">
        <f>'8. Country data'!C60</f>
        <v>3627</v>
      </c>
      <c r="D98" s="580">
        <f>'8. Country data'!D60</f>
        <v>4021</v>
      </c>
      <c r="E98" s="580">
        <f>'8. Country data'!E60</f>
        <v>4034</v>
      </c>
      <c r="F98" s="580">
        <f>'8. Country data'!F60</f>
        <v>3866</v>
      </c>
      <c r="G98" s="580">
        <f>'8. Country data'!G60</f>
        <v>3970</v>
      </c>
      <c r="H98" s="580">
        <f>'8. Country data'!H60</f>
        <v>4107</v>
      </c>
      <c r="I98" s="580">
        <f>'8. Country data'!I60</f>
        <v>4068</v>
      </c>
      <c r="J98" s="580">
        <f>'8. Country data'!J60</f>
        <v>4223</v>
      </c>
      <c r="K98" s="580">
        <f>'8. Country data'!K60</f>
        <v>4029</v>
      </c>
      <c r="L98" s="580">
        <f>'8. Country data'!L60</f>
        <v>3903</v>
      </c>
      <c r="M98" s="580">
        <f>'8. Country data'!M60</f>
        <v>3577</v>
      </c>
      <c r="N98" s="580">
        <f>'8. Country data'!N60</f>
        <v>4334</v>
      </c>
      <c r="O98" s="580">
        <f>'8. Country data'!O60</f>
        <v>4761</v>
      </c>
      <c r="P98" s="580">
        <f>'8. Country data'!P60</f>
        <v>4942</v>
      </c>
      <c r="Q98" s="580">
        <f>'8. Country data'!Q60</f>
        <v>4746</v>
      </c>
      <c r="R98" s="580">
        <f>'8. Country data'!R60</f>
        <v>4563</v>
      </c>
      <c r="S98" s="580">
        <f>'8. Country data'!S60</f>
        <v>4632</v>
      </c>
      <c r="T98" s="580">
        <f>'8. Country data'!T60</f>
        <v>5040</v>
      </c>
      <c r="U98" s="580">
        <f>'8. Country data'!U60</f>
        <v>6373</v>
      </c>
      <c r="V98" s="580">
        <f>'8. Country data'!V60</f>
        <v>7008</v>
      </c>
      <c r="W98" s="839">
        <f t="shared" si="43"/>
        <v>3.9273705447209144E-2</v>
      </c>
      <c r="X98" s="465">
        <v>178440</v>
      </c>
      <c r="Y98" s="4"/>
      <c r="Z98" s="4"/>
      <c r="AA98" s="4"/>
      <c r="AB98" s="745" t="e">
        <f>#REF!</f>
        <v>#REF!</v>
      </c>
      <c r="AC98" s="745" t="e">
        <f>#REF!</f>
        <v>#REF!</v>
      </c>
      <c r="AD98" s="745" t="e">
        <f>#REF!</f>
        <v>#REF!</v>
      </c>
      <c r="AE98" s="745" t="e">
        <f>AB98</f>
        <v>#REF!</v>
      </c>
      <c r="AF98" s="745" t="e">
        <f>AE98</f>
        <v>#REF!</v>
      </c>
      <c r="AG98" s="745" t="e">
        <f>AF98</f>
        <v>#REF!</v>
      </c>
      <c r="AH98" s="745" t="e">
        <f>AE98</f>
        <v>#REF!</v>
      </c>
      <c r="AI98" s="745" t="e">
        <f>AH98</f>
        <v>#REF!</v>
      </c>
      <c r="AJ98" s="745" t="e">
        <f>AI98</f>
        <v>#REF!</v>
      </c>
      <c r="AK98" s="745" t="e">
        <f>AH98</f>
        <v>#REF!</v>
      </c>
      <c r="AL98" s="745" t="e">
        <f>AK98</f>
        <v>#REF!</v>
      </c>
      <c r="AM98" s="745" t="e">
        <f>AL98</f>
        <v>#REF!</v>
      </c>
      <c r="AN98" s="745" t="e">
        <f>AK98</f>
        <v>#REF!</v>
      </c>
      <c r="AO98" s="745" t="e">
        <f>AL98</f>
        <v>#REF!</v>
      </c>
      <c r="AP98" s="745" t="e">
        <f>AO98</f>
        <v>#REF!</v>
      </c>
      <c r="AQ98" s="745" t="e">
        <f>AP98</f>
        <v>#REF!</v>
      </c>
      <c r="AR98" s="745" t="e">
        <f>AO98</f>
        <v>#REF!</v>
      </c>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row>
    <row r="99" spans="1:97" s="4" customFormat="1" ht="14.4" customHeight="1" x14ac:dyDescent="0.3">
      <c r="A99" s="80" t="s">
        <v>927</v>
      </c>
      <c r="B99" s="580">
        <f>'8. Country data'!B61</f>
        <v>1513</v>
      </c>
      <c r="C99" s="580">
        <f>'8. Country data'!C61</f>
        <v>1507</v>
      </c>
      <c r="D99" s="580">
        <f>'8. Country data'!D61</f>
        <v>1590</v>
      </c>
      <c r="E99" s="580">
        <f>'8. Country data'!E61</f>
        <v>1652</v>
      </c>
      <c r="F99" s="580">
        <f>'8. Country data'!F61</f>
        <v>1682</v>
      </c>
      <c r="G99" s="580">
        <f>'8. Country data'!G61</f>
        <v>2185</v>
      </c>
      <c r="H99" s="580">
        <f>'8. Country data'!H61</f>
        <v>2827</v>
      </c>
      <c r="I99" s="580">
        <f>'8. Country data'!I61</f>
        <v>5869</v>
      </c>
      <c r="J99" s="580">
        <f>'8. Country data'!J61</f>
        <v>3824</v>
      </c>
      <c r="K99" s="580">
        <f>'8. Country data'!K61</f>
        <v>2849</v>
      </c>
      <c r="L99" s="580">
        <f>'8. Country data'!L61</f>
        <v>3823</v>
      </c>
      <c r="M99" s="580">
        <f>'8. Country data'!M61</f>
        <v>3634</v>
      </c>
      <c r="N99" s="580">
        <f>'8. Country data'!N61</f>
        <v>4070</v>
      </c>
      <c r="O99" s="580">
        <f>'8. Country data'!O61</f>
        <v>4960</v>
      </c>
      <c r="P99" s="580">
        <f>'8. Country data'!P61</f>
        <v>5396</v>
      </c>
      <c r="Q99" s="580">
        <f>'8. Country data'!Q61</f>
        <v>6225</v>
      </c>
      <c r="R99" s="580">
        <f>'8. Country data'!R61</f>
        <v>6143</v>
      </c>
      <c r="S99" s="580">
        <f>'8. Country data'!S61</f>
        <v>6370</v>
      </c>
      <c r="T99" s="580">
        <f>'8. Country data'!T61</f>
        <v>6935</v>
      </c>
      <c r="U99" s="580">
        <f>'8. Country data'!U61</f>
        <v>7642</v>
      </c>
      <c r="V99" s="580">
        <f>'8. Country data'!V61</f>
        <v>6857</v>
      </c>
      <c r="W99" s="839">
        <f t="shared" si="43"/>
        <v>3.8427482627213627E-2</v>
      </c>
      <c r="X99" s="465">
        <v>178440</v>
      </c>
      <c r="AB99" s="746" t="e">
        <f>#REF!</f>
        <v>#REF!</v>
      </c>
      <c r="AC99" s="746" t="e">
        <f>AB99</f>
        <v>#REF!</v>
      </c>
      <c r="AD99" s="746" t="e">
        <f>AC99</f>
        <v>#REF!</v>
      </c>
      <c r="AE99" s="746" t="e">
        <f>AD99</f>
        <v>#REF!</v>
      </c>
      <c r="AF99" s="746" t="e">
        <f>AE99</f>
        <v>#REF!</v>
      </c>
      <c r="AG99" s="746" t="e">
        <f>AF99</f>
        <v>#REF!</v>
      </c>
      <c r="AH99" s="746" t="e">
        <f>AG99</f>
        <v>#REF!</v>
      </c>
      <c r="AI99" s="746" t="e">
        <f>AH99</f>
        <v>#REF!</v>
      </c>
      <c r="AJ99" s="746" t="e">
        <f>AI99</f>
        <v>#REF!</v>
      </c>
      <c r="AK99" s="746" t="e">
        <f>AJ99</f>
        <v>#REF!</v>
      </c>
      <c r="AL99" s="746" t="e">
        <f>AK99</f>
        <v>#REF!</v>
      </c>
      <c r="AM99" s="746" t="e">
        <f>AL99</f>
        <v>#REF!</v>
      </c>
      <c r="AN99" s="746" t="e">
        <f>AM99</f>
        <v>#REF!</v>
      </c>
      <c r="AO99" s="746" t="e">
        <f>AN99</f>
        <v>#REF!</v>
      </c>
      <c r="AP99" s="746" t="e">
        <f>AO99</f>
        <v>#REF!</v>
      </c>
      <c r="AQ99" s="746" t="e">
        <f>AP99</f>
        <v>#REF!</v>
      </c>
      <c r="AR99" s="746" t="e">
        <f>AQ99</f>
        <v>#REF!</v>
      </c>
    </row>
    <row r="100" spans="1:97" s="4" customFormat="1" ht="13.8" customHeight="1" x14ac:dyDescent="0.3">
      <c r="A100" s="80" t="s">
        <v>406</v>
      </c>
      <c r="B100" s="580">
        <f>'8. Country data'!B62</f>
        <v>724</v>
      </c>
      <c r="C100" s="580">
        <f>'8. Country data'!C62</f>
        <v>946</v>
      </c>
      <c r="D100" s="580">
        <f>'8. Country data'!D62</f>
        <v>1276</v>
      </c>
      <c r="E100" s="580">
        <f>'8. Country data'!E62</f>
        <v>1356</v>
      </c>
      <c r="F100" s="580">
        <f>'8. Country data'!F62</f>
        <v>1570</v>
      </c>
      <c r="G100" s="580">
        <f>'8. Country data'!G62</f>
        <v>1579</v>
      </c>
      <c r="H100" s="580">
        <f>'8. Country data'!H62</f>
        <v>1557</v>
      </c>
      <c r="I100" s="580">
        <f>'8. Country data'!I62</f>
        <v>1755</v>
      </c>
      <c r="J100" s="580">
        <f>'8. Country data'!J62</f>
        <v>1799</v>
      </c>
      <c r="K100" s="580">
        <f>'8. Country data'!K62</f>
        <v>1916</v>
      </c>
      <c r="L100" s="580">
        <f>'8. Country data'!L62</f>
        <v>2519</v>
      </c>
      <c r="M100" s="580">
        <f>'8. Country data'!M62</f>
        <v>2137</v>
      </c>
      <c r="N100" s="580">
        <f>'8. Country data'!N62</f>
        <v>2333</v>
      </c>
      <c r="O100" s="580">
        <f>'8. Country data'!O62</f>
        <v>2684</v>
      </c>
      <c r="P100" s="580">
        <f>'8. Country data'!P62</f>
        <v>4894</v>
      </c>
      <c r="Q100" s="580">
        <f>'8. Country data'!Q62</f>
        <v>5049</v>
      </c>
      <c r="R100" s="580">
        <f>'8. Country data'!R62</f>
        <v>4331</v>
      </c>
      <c r="S100" s="580">
        <f>'8. Country data'!S62</f>
        <v>4891</v>
      </c>
      <c r="T100" s="580">
        <f>'8. Country data'!T62</f>
        <v>4587</v>
      </c>
      <c r="U100" s="580">
        <f>'8. Country data'!U62</f>
        <v>6306</v>
      </c>
      <c r="V100" s="580">
        <f>'8. Country data'!V62</f>
        <v>6337</v>
      </c>
      <c r="W100" s="839">
        <f t="shared" si="43"/>
        <v>3.5513337816633045E-2</v>
      </c>
      <c r="X100" s="465">
        <v>178440</v>
      </c>
      <c r="AB100" s="746"/>
    </row>
    <row r="101" spans="1:97" s="108" customFormat="1" x14ac:dyDescent="0.3">
      <c r="A101" s="80" t="s">
        <v>393</v>
      </c>
      <c r="B101" s="580">
        <f>'8. Country data'!B63</f>
        <v>2208</v>
      </c>
      <c r="C101" s="580">
        <f>'8. Country data'!C63</f>
        <v>2510</v>
      </c>
      <c r="D101" s="580">
        <f>'8. Country data'!D63</f>
        <v>3258</v>
      </c>
      <c r="E101" s="580">
        <f>'8. Country data'!E63</f>
        <v>2965</v>
      </c>
      <c r="F101" s="580">
        <f>'8. Country data'!F63</f>
        <v>3025</v>
      </c>
      <c r="G101" s="580">
        <f>'8. Country data'!G63</f>
        <v>3070</v>
      </c>
      <c r="H101" s="580">
        <f>'8. Country data'!H63</f>
        <v>3116</v>
      </c>
      <c r="I101" s="580">
        <f>'8. Country data'!I63</f>
        <v>3067</v>
      </c>
      <c r="J101" s="580">
        <f>'8. Country data'!J63</f>
        <v>3611</v>
      </c>
      <c r="K101" s="580">
        <f>'8. Country data'!K63</f>
        <v>3139</v>
      </c>
      <c r="L101" s="580">
        <f>'8. Country data'!L63</f>
        <v>3293</v>
      </c>
      <c r="M101" s="580">
        <f>'8. Country data'!M63</f>
        <v>3402</v>
      </c>
      <c r="N101" s="580">
        <f>'8. Country data'!N63</f>
        <v>4252</v>
      </c>
      <c r="O101" s="580">
        <f>'8. Country data'!O63</f>
        <v>4973</v>
      </c>
      <c r="P101" s="580">
        <f>'8. Country data'!P63</f>
        <v>4279</v>
      </c>
      <c r="Q101" s="580">
        <f>'8. Country data'!Q63</f>
        <v>4108</v>
      </c>
      <c r="R101" s="580">
        <f>'8. Country data'!R63</f>
        <v>4137</v>
      </c>
      <c r="S101" s="580">
        <f>'8. Country data'!S63</f>
        <v>4128</v>
      </c>
      <c r="T101" s="580">
        <f>'8. Country data'!T63</f>
        <v>4997</v>
      </c>
      <c r="U101" s="580">
        <f>'8. Country data'!U63</f>
        <v>5403</v>
      </c>
      <c r="V101" s="580">
        <f>'8. Country data'!V63</f>
        <v>6077</v>
      </c>
      <c r="W101" s="839">
        <f t="shared" si="43"/>
        <v>3.4056265411342747E-2</v>
      </c>
      <c r="X101" s="465">
        <v>178440</v>
      </c>
      <c r="Y101" s="107"/>
      <c r="Z101" s="107"/>
      <c r="AA101" s="107"/>
      <c r="AB101" s="749">
        <v>2019</v>
      </c>
      <c r="AC101" s="749">
        <v>2020</v>
      </c>
      <c r="AD101" s="749">
        <v>2021</v>
      </c>
      <c r="AE101" s="749">
        <v>2022</v>
      </c>
      <c r="AF101" s="749">
        <v>2023</v>
      </c>
      <c r="AG101" s="749">
        <v>2024</v>
      </c>
      <c r="AH101" s="749">
        <v>2025</v>
      </c>
      <c r="AI101" s="749">
        <v>2026</v>
      </c>
      <c r="AJ101" s="749">
        <v>2027</v>
      </c>
      <c r="AK101" s="749">
        <v>2028</v>
      </c>
      <c r="AL101" s="749">
        <v>2029</v>
      </c>
      <c r="AM101" s="749">
        <v>2030</v>
      </c>
      <c r="AN101" s="749">
        <v>2031</v>
      </c>
      <c r="AO101" s="749">
        <v>2032</v>
      </c>
      <c r="AP101" s="749">
        <v>2033</v>
      </c>
      <c r="AQ101" s="749">
        <v>2034</v>
      </c>
      <c r="AR101" s="749">
        <v>2035</v>
      </c>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row>
    <row r="102" spans="1:97" x14ac:dyDescent="0.3">
      <c r="A102" s="80" t="s">
        <v>399</v>
      </c>
      <c r="B102" s="580">
        <f>'8. Country data'!B64</f>
        <v>1335</v>
      </c>
      <c r="C102" s="580">
        <f>'8. Country data'!C64</f>
        <v>1645</v>
      </c>
      <c r="D102" s="580">
        <f>'8. Country data'!D64</f>
        <v>2282</v>
      </c>
      <c r="E102" s="580">
        <f>'8. Country data'!E64</f>
        <v>1875</v>
      </c>
      <c r="F102" s="580">
        <f>'8. Country data'!F64</f>
        <v>1778</v>
      </c>
      <c r="G102" s="580">
        <f>'8. Country data'!G64</f>
        <v>2341</v>
      </c>
      <c r="H102" s="580">
        <f>'8. Country data'!H64</f>
        <v>2569</v>
      </c>
      <c r="I102" s="580">
        <f>'8. Country data'!I64</f>
        <v>2946</v>
      </c>
      <c r="J102" s="580">
        <f>'8. Country data'!J64</f>
        <v>2975</v>
      </c>
      <c r="K102" s="580">
        <f>'8. Country data'!K64</f>
        <v>3829</v>
      </c>
      <c r="L102" s="580">
        <f>'8. Country data'!L64</f>
        <v>5001</v>
      </c>
      <c r="M102" s="580">
        <f>'8. Country data'!M64</f>
        <v>3115</v>
      </c>
      <c r="N102" s="580">
        <f>'8. Country data'!N64</f>
        <v>4554</v>
      </c>
      <c r="O102" s="580">
        <f>'8. Country data'!O64</f>
        <v>6619</v>
      </c>
      <c r="P102" s="580">
        <f>'8. Country data'!P64</f>
        <v>5472</v>
      </c>
      <c r="Q102" s="580">
        <f>'8. Country data'!Q64</f>
        <v>6292</v>
      </c>
      <c r="R102" s="580">
        <f>'8. Country data'!R64</f>
        <v>5410</v>
      </c>
      <c r="S102" s="580">
        <f>'8. Country data'!S64</f>
        <v>4100</v>
      </c>
      <c r="T102" s="580">
        <f>'8. Country data'!T64</f>
        <v>3456</v>
      </c>
      <c r="U102" s="580">
        <f>'8. Country data'!U64</f>
        <v>4462</v>
      </c>
      <c r="V102" s="580">
        <f>'8. Country data'!V64</f>
        <v>5513</v>
      </c>
      <c r="W102" s="839">
        <f t="shared" si="43"/>
        <v>3.0895539116789956E-2</v>
      </c>
      <c r="X102" s="465">
        <v>178440</v>
      </c>
      <c r="AB102" s="748" t="e">
        <f>(V102*AB108)+V102</f>
        <v>#REF!</v>
      </c>
      <c r="AC102" s="106" t="e">
        <f t="shared" ref="AC102:AR102" si="45">(AB102*AB108)+AB102</f>
        <v>#REF!</v>
      </c>
      <c r="AD102" s="106" t="e">
        <f t="shared" si="45"/>
        <v>#REF!</v>
      </c>
      <c r="AE102" s="106" t="e">
        <f t="shared" si="45"/>
        <v>#REF!</v>
      </c>
      <c r="AF102" s="106" t="e">
        <f t="shared" si="45"/>
        <v>#REF!</v>
      </c>
      <c r="AG102" s="106" t="e">
        <f t="shared" si="45"/>
        <v>#REF!</v>
      </c>
      <c r="AH102" s="106" t="e">
        <f t="shared" si="45"/>
        <v>#REF!</v>
      </c>
      <c r="AI102" s="106" t="e">
        <f t="shared" si="45"/>
        <v>#REF!</v>
      </c>
      <c r="AJ102" s="106" t="e">
        <f t="shared" si="45"/>
        <v>#REF!</v>
      </c>
      <c r="AK102" s="106" t="e">
        <f t="shared" si="45"/>
        <v>#REF!</v>
      </c>
      <c r="AL102" s="106" t="e">
        <f t="shared" si="45"/>
        <v>#REF!</v>
      </c>
      <c r="AM102" s="106" t="e">
        <f t="shared" si="45"/>
        <v>#REF!</v>
      </c>
      <c r="AN102" s="106" t="e">
        <f t="shared" si="45"/>
        <v>#REF!</v>
      </c>
      <c r="AO102" s="106" t="e">
        <f t="shared" si="45"/>
        <v>#REF!</v>
      </c>
      <c r="AP102" s="106" t="e">
        <f t="shared" si="45"/>
        <v>#REF!</v>
      </c>
      <c r="AQ102" s="106" t="e">
        <f t="shared" si="45"/>
        <v>#REF!</v>
      </c>
      <c r="AR102" s="106" t="e">
        <f t="shared" si="45"/>
        <v>#REF!</v>
      </c>
    </row>
    <row r="103" spans="1:97" x14ac:dyDescent="0.3">
      <c r="A103" s="80" t="s">
        <v>390</v>
      </c>
      <c r="B103" s="580">
        <f>'8. Country data'!B65</f>
        <v>1721</v>
      </c>
      <c r="C103" s="580">
        <f>'8. Country data'!C65</f>
        <v>1369</v>
      </c>
      <c r="D103" s="580">
        <f>'8. Country data'!D65</f>
        <v>2062</v>
      </c>
      <c r="E103" s="580">
        <f>'8. Country data'!E65</f>
        <v>1300</v>
      </c>
      <c r="F103" s="580">
        <f>'8. Country data'!F65</f>
        <v>1456</v>
      </c>
      <c r="G103" s="580">
        <f>'8. Country data'!G65</f>
        <v>1826</v>
      </c>
      <c r="H103" s="580">
        <f>'8. Country data'!H65</f>
        <v>2086</v>
      </c>
      <c r="I103" s="580">
        <f>'8. Country data'!I65</f>
        <v>2341</v>
      </c>
      <c r="J103" s="580">
        <f>'8. Country data'!J65</f>
        <v>2660</v>
      </c>
      <c r="K103" s="580">
        <f>'8. Country data'!K65</f>
        <v>2566</v>
      </c>
      <c r="L103" s="580">
        <f>'8. Country data'!L65</f>
        <v>2656</v>
      </c>
      <c r="M103" s="580">
        <f>'8. Country data'!M65</f>
        <v>2436</v>
      </c>
      <c r="N103" s="580">
        <f>'8. Country data'!N65</f>
        <v>3297</v>
      </c>
      <c r="O103" s="580">
        <f>'8. Country data'!O65</f>
        <v>4029</v>
      </c>
      <c r="P103" s="580">
        <f>'8. Country data'!P65</f>
        <v>3723</v>
      </c>
      <c r="Q103" s="580">
        <f>'8. Country data'!Q65</f>
        <v>4095</v>
      </c>
      <c r="R103" s="580">
        <f>'8. Country data'!R65</f>
        <v>3670</v>
      </c>
      <c r="S103" s="580">
        <f>'8. Country data'!S65</f>
        <v>3620</v>
      </c>
      <c r="T103" s="580">
        <f>'8. Country data'!T65</f>
        <v>4649</v>
      </c>
      <c r="U103" s="580">
        <f>'8. Country data'!U65</f>
        <v>5915</v>
      </c>
      <c r="V103" s="580">
        <f>'8. Country data'!V65</f>
        <v>5231</v>
      </c>
      <c r="W103" s="839">
        <f t="shared" si="43"/>
        <v>2.9315175969513562E-2</v>
      </c>
      <c r="X103" s="465">
        <v>178440</v>
      </c>
      <c r="AB103" s="748" t="e">
        <f>(V103*#REF!)+V103</f>
        <v>#REF!</v>
      </c>
      <c r="AC103" s="106" t="e">
        <f>(AB103*#REF!)+AB103</f>
        <v>#REF!</v>
      </c>
      <c r="AD103" s="106" t="e">
        <f>(AC103*#REF!)+AC103</f>
        <v>#REF!</v>
      </c>
      <c r="AE103" s="106" t="e">
        <f>(AD103*#REF!)+AD103</f>
        <v>#REF!</v>
      </c>
      <c r="AF103" s="106" t="e">
        <f>(AE103*#REF!)+AE103</f>
        <v>#REF!</v>
      </c>
      <c r="AG103" s="106" t="e">
        <f>(AF103*#REF!)+AF103</f>
        <v>#REF!</v>
      </c>
      <c r="AH103" s="106" t="e">
        <f>(AG103*#REF!)+AG103</f>
        <v>#REF!</v>
      </c>
      <c r="AI103" s="106" t="e">
        <f>(AH103*#REF!)+AH103</f>
        <v>#REF!</v>
      </c>
      <c r="AJ103" s="106" t="e">
        <f>(AI103*#REF!)+AI103</f>
        <v>#REF!</v>
      </c>
      <c r="AK103" s="106" t="e">
        <f>(AJ103*#REF!)+AJ103</f>
        <v>#REF!</v>
      </c>
      <c r="AL103" s="106" t="e">
        <f>(AK103*#REF!)+AK103</f>
        <v>#REF!</v>
      </c>
      <c r="AM103" s="106" t="e">
        <f>(AL103*#REF!)+AL103</f>
        <v>#REF!</v>
      </c>
      <c r="AN103" s="106" t="e">
        <f>(AM103*#REF!)+AM103</f>
        <v>#REF!</v>
      </c>
      <c r="AO103" s="106" t="e">
        <f>(AN103*#REF!)+AN103</f>
        <v>#REF!</v>
      </c>
      <c r="AP103" s="106" t="e">
        <f>(AO103*#REF!)+AO103</f>
        <v>#REF!</v>
      </c>
      <c r="AQ103" s="106" t="e">
        <f>(AP103*#REF!)+AP103</f>
        <v>#REF!</v>
      </c>
      <c r="AR103" s="106" t="e">
        <f>(AQ103*#REF!)+AQ103</f>
        <v>#REF!</v>
      </c>
    </row>
    <row r="104" spans="1:97" x14ac:dyDescent="0.3">
      <c r="A104" s="80" t="s">
        <v>405</v>
      </c>
      <c r="B104" s="580">
        <f>'8. Country data'!B66</f>
        <v>1701</v>
      </c>
      <c r="C104" s="580">
        <f>'8. Country data'!C66</f>
        <v>1698</v>
      </c>
      <c r="D104" s="580">
        <f>'8. Country data'!D66</f>
        <v>1720</v>
      </c>
      <c r="E104" s="580">
        <f>'8. Country data'!E66</f>
        <v>1666</v>
      </c>
      <c r="F104" s="580">
        <f>'8. Country data'!F66</f>
        <v>1515</v>
      </c>
      <c r="G104" s="580">
        <f>'8. Country data'!G66</f>
        <v>1629</v>
      </c>
      <c r="H104" s="580">
        <f>'8. Country data'!H66</f>
        <v>1758</v>
      </c>
      <c r="I104" s="580">
        <f>'8. Country data'!I66</f>
        <v>2161</v>
      </c>
      <c r="J104" s="580">
        <f>'8. Country data'!J66</f>
        <v>2352</v>
      </c>
      <c r="K104" s="580">
        <f>'8. Country data'!K66</f>
        <v>2583</v>
      </c>
      <c r="L104" s="580">
        <f>'8. Country data'!L66</f>
        <v>2849</v>
      </c>
      <c r="M104" s="580">
        <f>'8. Country data'!M66</f>
        <v>2976</v>
      </c>
      <c r="N104" s="580">
        <f>'8. Country data'!N66</f>
        <v>3463</v>
      </c>
      <c r="O104" s="580">
        <f>'8. Country data'!O66</f>
        <v>3892</v>
      </c>
      <c r="P104" s="580">
        <f>'8. Country data'!P66</f>
        <v>4484</v>
      </c>
      <c r="Q104" s="580">
        <f>'8. Country data'!Q66</f>
        <v>4305</v>
      </c>
      <c r="R104" s="580">
        <f>'8. Country data'!R66</f>
        <v>3855</v>
      </c>
      <c r="S104" s="580">
        <f>'8. Country data'!S66</f>
        <v>3966</v>
      </c>
      <c r="T104" s="580">
        <f>'8. Country data'!T66</f>
        <v>4682</v>
      </c>
      <c r="U104" s="580">
        <f>'8. Country data'!U66</f>
        <v>5270</v>
      </c>
      <c r="V104" s="580">
        <f>'8. Country data'!V66</f>
        <v>5025</v>
      </c>
      <c r="W104" s="839">
        <f t="shared" si="43"/>
        <v>2.8160726294552792E-2</v>
      </c>
      <c r="X104" s="465">
        <v>178440</v>
      </c>
      <c r="AB104" s="748"/>
      <c r="AC104" s="106"/>
      <c r="AD104" s="106"/>
      <c r="AE104" s="106"/>
      <c r="AF104" s="106"/>
      <c r="AG104" s="106"/>
      <c r="AH104" s="106"/>
      <c r="AI104" s="106"/>
      <c r="AJ104" s="106"/>
      <c r="AK104" s="106"/>
      <c r="AL104" s="106"/>
      <c r="AM104" s="106"/>
      <c r="AN104" s="106"/>
      <c r="AO104" s="106"/>
      <c r="AP104" s="106"/>
      <c r="AQ104" s="106"/>
      <c r="AR104" s="106"/>
    </row>
    <row r="105" spans="1:97" x14ac:dyDescent="0.3">
      <c r="A105" s="80" t="s">
        <v>409</v>
      </c>
      <c r="B105" s="580">
        <f>'8. Country data'!B67</f>
        <v>2512</v>
      </c>
      <c r="C105" s="580">
        <f>'8. Country data'!C67</f>
        <v>2320</v>
      </c>
      <c r="D105" s="580">
        <f>'8. Country data'!D67</f>
        <v>2526</v>
      </c>
      <c r="E105" s="580">
        <f>'8. Country data'!E67</f>
        <v>2368</v>
      </c>
      <c r="F105" s="580">
        <f>'8. Country data'!F67</f>
        <v>2194</v>
      </c>
      <c r="G105" s="580">
        <f>'8. Country data'!G67</f>
        <v>2433</v>
      </c>
      <c r="H105" s="580">
        <f>'8. Country data'!H67</f>
        <v>2591</v>
      </c>
      <c r="I105" s="580">
        <f>'8. Country data'!I67</f>
        <v>2671</v>
      </c>
      <c r="J105" s="580">
        <f>'8. Country data'!J67</f>
        <v>2566</v>
      </c>
      <c r="K105" s="580">
        <f>'8. Country data'!K67</f>
        <v>2685</v>
      </c>
      <c r="L105" s="580">
        <f>'8. Country data'!L67</f>
        <v>3127</v>
      </c>
      <c r="M105" s="580">
        <f>'8. Country data'!M67</f>
        <v>2973</v>
      </c>
      <c r="N105" s="580">
        <f>'8. Country data'!N67</f>
        <v>3401</v>
      </c>
      <c r="O105" s="580">
        <f>'8. Country data'!O67</f>
        <v>4439</v>
      </c>
      <c r="P105" s="580">
        <f>'8. Country data'!P67</f>
        <v>4704</v>
      </c>
      <c r="Q105" s="580">
        <f>'8. Country data'!Q67</f>
        <v>4107</v>
      </c>
      <c r="R105" s="580">
        <f>'8. Country data'!R67</f>
        <v>3901</v>
      </c>
      <c r="S105" s="580">
        <f>'8. Country data'!S67</f>
        <v>4010</v>
      </c>
      <c r="T105" s="580">
        <f>'8. Country data'!T67</f>
        <v>4162</v>
      </c>
      <c r="U105" s="580">
        <f>'8. Country data'!U67</f>
        <v>4976</v>
      </c>
      <c r="V105" s="580">
        <f>'8. Country data'!V67</f>
        <v>5006</v>
      </c>
      <c r="W105" s="839">
        <f t="shared" si="43"/>
        <v>2.8054247926473885E-2</v>
      </c>
      <c r="X105" s="465">
        <v>178440</v>
      </c>
      <c r="AB105" s="748"/>
      <c r="AC105" s="106"/>
      <c r="AD105" s="106"/>
      <c r="AE105" s="106"/>
      <c r="AF105" s="106"/>
      <c r="AG105" s="106"/>
      <c r="AH105" s="106"/>
      <c r="AI105" s="106"/>
      <c r="AJ105" s="106"/>
      <c r="AK105" s="106"/>
      <c r="AL105" s="106"/>
      <c r="AM105" s="106"/>
      <c r="AN105" s="106"/>
      <c r="AO105" s="106"/>
      <c r="AP105" s="106"/>
      <c r="AQ105" s="106"/>
      <c r="AR105" s="106"/>
    </row>
    <row r="106" spans="1:97" x14ac:dyDescent="0.3">
      <c r="A106" s="80" t="s">
        <v>414</v>
      </c>
      <c r="B106" s="580">
        <f>'8. Country data'!B68</f>
        <v>2892</v>
      </c>
      <c r="C106" s="580">
        <f>'8. Country data'!C68</f>
        <v>2235</v>
      </c>
      <c r="D106" s="580">
        <f>'8. Country data'!D68</f>
        <v>2260</v>
      </c>
      <c r="E106" s="580">
        <f>'8. Country data'!E68</f>
        <v>2069</v>
      </c>
      <c r="F106" s="580">
        <f>'8. Country data'!F68</f>
        <v>1965</v>
      </c>
      <c r="G106" s="580">
        <f>'8. Country data'!G68</f>
        <v>2109</v>
      </c>
      <c r="H106" s="580">
        <f>'8. Country data'!H68</f>
        <v>2145</v>
      </c>
      <c r="I106" s="580">
        <f>'8. Country data'!I68</f>
        <v>2440</v>
      </c>
      <c r="J106" s="580">
        <f>'8. Country data'!J68</f>
        <v>2279</v>
      </c>
      <c r="K106" s="580">
        <f>'8. Country data'!K68</f>
        <v>2965</v>
      </c>
      <c r="L106" s="580">
        <f>'8. Country data'!L68</f>
        <v>2980</v>
      </c>
      <c r="M106" s="580">
        <f>'8. Country data'!M68</f>
        <v>2936</v>
      </c>
      <c r="N106" s="580">
        <f>'8. Country data'!N68</f>
        <v>3178</v>
      </c>
      <c r="O106" s="580">
        <f>'8. Country data'!O68</f>
        <v>3535</v>
      </c>
      <c r="P106" s="580">
        <f>'8. Country data'!P68</f>
        <v>3764</v>
      </c>
      <c r="Q106" s="580">
        <f>'8. Country data'!Q68</f>
        <v>3622</v>
      </c>
      <c r="R106" s="580">
        <f>'8. Country data'!R68</f>
        <v>3880</v>
      </c>
      <c r="S106" s="580">
        <f>'8. Country data'!S68</f>
        <v>3426</v>
      </c>
      <c r="T106" s="580">
        <f>'8. Country data'!T68</f>
        <v>3307</v>
      </c>
      <c r="U106" s="580">
        <f>'8. Country data'!U68</f>
        <v>3223</v>
      </c>
      <c r="V106" s="580">
        <f>'8. Country data'!V68</f>
        <v>3636</v>
      </c>
      <c r="W106" s="839">
        <f t="shared" si="43"/>
        <v>2.0376597175521184E-2</v>
      </c>
      <c r="X106" s="465">
        <v>178440</v>
      </c>
      <c r="AB106" s="748"/>
      <c r="AC106" s="106"/>
      <c r="AD106" s="106"/>
      <c r="AE106" s="106"/>
      <c r="AF106" s="106"/>
      <c r="AG106" s="106"/>
      <c r="AH106" s="106"/>
      <c r="AI106" s="106"/>
      <c r="AJ106" s="106"/>
      <c r="AK106" s="106"/>
      <c r="AL106" s="106"/>
      <c r="AM106" s="106"/>
      <c r="AN106" s="106"/>
      <c r="AO106" s="106"/>
      <c r="AP106" s="106"/>
      <c r="AQ106" s="106"/>
      <c r="AR106" s="106"/>
    </row>
    <row r="107" spans="1:97" s="892" customFormat="1" x14ac:dyDescent="0.3">
      <c r="A107" s="882" t="s">
        <v>928</v>
      </c>
      <c r="B107" s="886">
        <f>SUM(B94:B106)-B108</f>
        <v>40222</v>
      </c>
      <c r="C107" s="886">
        <f t="shared" ref="C107:G107" si="46">SUM(C94:C106)-C108</f>
        <v>43468</v>
      </c>
      <c r="D107" s="886">
        <f t="shared" si="46"/>
        <v>51478</v>
      </c>
      <c r="E107" s="886">
        <f t="shared" si="46"/>
        <v>50652</v>
      </c>
      <c r="F107" s="886">
        <f t="shared" si="46"/>
        <v>48353</v>
      </c>
      <c r="G107" s="886">
        <f t="shared" si="46"/>
        <v>50802</v>
      </c>
      <c r="H107" s="886">
        <f>SUM(H94:H106)-H108</f>
        <v>52577</v>
      </c>
      <c r="I107" s="886">
        <f t="shared" ref="I107" si="47">SUM(I94:I106)-I108</f>
        <v>60382</v>
      </c>
      <c r="J107" s="886">
        <f t="shared" ref="J107" si="48">SUM(J94:J106)-J108</f>
        <v>60146</v>
      </c>
      <c r="K107" s="886">
        <f t="shared" ref="K107" si="49">SUM(K94:K106)-K108</f>
        <v>61349</v>
      </c>
      <c r="L107" s="886">
        <f t="shared" ref="L107" si="50">SUM(L94:L106)-L108</f>
        <v>69598</v>
      </c>
      <c r="M107" s="886">
        <f t="shared" ref="M107" si="51">SUM(M94:M106)-M108</f>
        <v>65245</v>
      </c>
      <c r="N107" s="886">
        <f>SUM(N94:N106)-N108</f>
        <v>76963</v>
      </c>
      <c r="O107" s="886">
        <f t="shared" ref="O107" si="52">SUM(O94:O106)-O108</f>
        <v>88553</v>
      </c>
      <c r="P107" s="886">
        <f t="shared" ref="P107" si="53">SUM(P94:P106)-P108</f>
        <v>91706</v>
      </c>
      <c r="Q107" s="886">
        <f t="shared" ref="Q107" si="54">SUM(Q94:Q106)-Q108</f>
        <v>94705</v>
      </c>
      <c r="R107" s="886">
        <f t="shared" ref="R107" si="55">SUM(R94:R106)-R108</f>
        <v>93307</v>
      </c>
      <c r="S107" s="886">
        <f>SUM(S94:S106)-S108</f>
        <v>99294</v>
      </c>
      <c r="T107" s="886">
        <f t="shared" ref="T107" si="56">SUM(T94:T106)-T108</f>
        <v>102495</v>
      </c>
      <c r="U107" s="886">
        <f t="shared" ref="U107" si="57">SUM(U94:U106)-U108</f>
        <v>117686</v>
      </c>
      <c r="V107" s="886">
        <f t="shared" ref="V107" si="58">SUM(V94:V106)-V108</f>
        <v>123576</v>
      </c>
      <c r="W107" s="887">
        <f t="shared" si="43"/>
        <v>0.69253530598520507</v>
      </c>
      <c r="X107" s="892">
        <v>178440</v>
      </c>
      <c r="AB107" s="901"/>
    </row>
    <row r="108" spans="1:97" s="892" customFormat="1" x14ac:dyDescent="0.3">
      <c r="A108" s="892" t="s">
        <v>937</v>
      </c>
      <c r="B108" s="892">
        <f>B97+B103+B106</f>
        <v>7448</v>
      </c>
      <c r="C108" s="892">
        <f t="shared" ref="C108:G108" si="59">C97+C103+C106</f>
        <v>6305</v>
      </c>
      <c r="D108" s="892">
        <f t="shared" si="59"/>
        <v>7547</v>
      </c>
      <c r="E108" s="892">
        <f t="shared" si="59"/>
        <v>7170</v>
      </c>
      <c r="F108" s="892">
        <f t="shared" si="59"/>
        <v>6567</v>
      </c>
      <c r="G108" s="892">
        <f t="shared" si="59"/>
        <v>6714</v>
      </c>
      <c r="H108" s="892">
        <f>H97+H103+H106</f>
        <v>6976</v>
      </c>
      <c r="I108" s="892">
        <f t="shared" ref="I108:M108" si="60">I97+I103+I106</f>
        <v>9679</v>
      </c>
      <c r="J108" s="892">
        <f t="shared" si="60"/>
        <v>8903</v>
      </c>
      <c r="K108" s="892">
        <f t="shared" si="60"/>
        <v>8837</v>
      </c>
      <c r="L108" s="892">
        <f t="shared" si="60"/>
        <v>9759</v>
      </c>
      <c r="M108" s="892">
        <f t="shared" si="60"/>
        <v>8860</v>
      </c>
      <c r="N108" s="892">
        <f>N97+N103+N106</f>
        <v>11254</v>
      </c>
      <c r="O108" s="892">
        <f t="shared" ref="O108:R108" si="61">O97+O103+O106</f>
        <v>12494</v>
      </c>
      <c r="P108" s="892">
        <f t="shared" si="61"/>
        <v>12994</v>
      </c>
      <c r="Q108" s="902">
        <f t="shared" si="61"/>
        <v>13562</v>
      </c>
      <c r="R108" s="902">
        <f t="shared" si="61"/>
        <v>13577</v>
      </c>
      <c r="S108" s="902">
        <f>S97+S103+S106</f>
        <v>16998</v>
      </c>
      <c r="T108" s="902">
        <f t="shared" ref="T108:V108" si="62">T97+T103+T106</f>
        <v>16552</v>
      </c>
      <c r="U108" s="902">
        <f t="shared" si="62"/>
        <v>16639</v>
      </c>
      <c r="V108" s="902">
        <f t="shared" si="62"/>
        <v>16162</v>
      </c>
      <c r="W108" s="887">
        <f t="shared" si="43"/>
        <v>9.0573862362698945E-2</v>
      </c>
      <c r="X108" s="892">
        <v>178440</v>
      </c>
      <c r="AB108" s="903" t="e">
        <f>#REF!</f>
        <v>#REF!</v>
      </c>
      <c r="AC108" s="903" t="e">
        <f t="shared" ref="AC108:AR108" si="63">AB108</f>
        <v>#REF!</v>
      </c>
      <c r="AD108" s="903" t="e">
        <f t="shared" si="63"/>
        <v>#REF!</v>
      </c>
      <c r="AE108" s="903" t="e">
        <f t="shared" si="63"/>
        <v>#REF!</v>
      </c>
      <c r="AF108" s="903" t="e">
        <f t="shared" si="63"/>
        <v>#REF!</v>
      </c>
      <c r="AG108" s="903" t="e">
        <f t="shared" si="63"/>
        <v>#REF!</v>
      </c>
      <c r="AH108" s="903" t="e">
        <f t="shared" si="63"/>
        <v>#REF!</v>
      </c>
      <c r="AI108" s="903" t="e">
        <f t="shared" si="63"/>
        <v>#REF!</v>
      </c>
      <c r="AJ108" s="903" t="e">
        <f t="shared" si="63"/>
        <v>#REF!</v>
      </c>
      <c r="AK108" s="903" t="e">
        <f t="shared" si="63"/>
        <v>#REF!</v>
      </c>
      <c r="AL108" s="903" t="e">
        <f t="shared" si="63"/>
        <v>#REF!</v>
      </c>
      <c r="AM108" s="903" t="e">
        <f t="shared" si="63"/>
        <v>#REF!</v>
      </c>
      <c r="AN108" s="903" t="e">
        <f t="shared" si="63"/>
        <v>#REF!</v>
      </c>
      <c r="AO108" s="903" t="e">
        <f t="shared" si="63"/>
        <v>#REF!</v>
      </c>
      <c r="AP108" s="903" t="e">
        <f t="shared" si="63"/>
        <v>#REF!</v>
      </c>
      <c r="AQ108" s="903" t="e">
        <f t="shared" si="63"/>
        <v>#REF!</v>
      </c>
      <c r="AR108" s="903" t="e">
        <f t="shared" si="63"/>
        <v>#REF!</v>
      </c>
    </row>
    <row r="109" spans="1:97" x14ac:dyDescent="0.3">
      <c r="A109" s="80" t="s">
        <v>936</v>
      </c>
      <c r="B109" s="565">
        <f>B108/B107</f>
        <v>0.18517229376957883</v>
      </c>
      <c r="C109" s="565">
        <f t="shared" ref="C109:G109" si="64">C108/C107</f>
        <v>0.14504923161866201</v>
      </c>
      <c r="D109" s="565">
        <f t="shared" si="64"/>
        <v>0.14660631726174289</v>
      </c>
      <c r="E109" s="565">
        <f t="shared" si="64"/>
        <v>0.14155413409144751</v>
      </c>
      <c r="F109" s="565">
        <f t="shared" si="64"/>
        <v>0.13581370338965523</v>
      </c>
      <c r="G109" s="565">
        <f t="shared" si="64"/>
        <v>0.13216015117515059</v>
      </c>
      <c r="H109" s="565">
        <f>H108/H107</f>
        <v>0.13268159080966963</v>
      </c>
      <c r="I109" s="565">
        <f t="shared" ref="I109" si="65">I108/I107</f>
        <v>0.16029611473617966</v>
      </c>
      <c r="J109" s="565">
        <f t="shared" ref="J109" si="66">J108/J107</f>
        <v>0.14802314368370298</v>
      </c>
      <c r="K109" s="565">
        <f t="shared" ref="K109" si="67">K108/K107</f>
        <v>0.14404472770542306</v>
      </c>
      <c r="L109" s="565">
        <f t="shared" ref="L109" si="68">L108/L107</f>
        <v>0.14021954653869365</v>
      </c>
      <c r="M109" s="565">
        <f t="shared" ref="M109" si="69">M108/M107</f>
        <v>0.13579584642501341</v>
      </c>
      <c r="N109" s="565">
        <f>N108/N107</f>
        <v>0.14622610864961086</v>
      </c>
      <c r="O109" s="565">
        <f t="shared" ref="O109" si="70">O108/O107</f>
        <v>0.14109064627962914</v>
      </c>
      <c r="P109" s="565">
        <f t="shared" ref="P109" si="71">P108/P107</f>
        <v>0.14169192855429308</v>
      </c>
      <c r="Q109" s="814">
        <f t="shared" ref="Q109" si="72">Q108/Q107</f>
        <v>0.14320257642151946</v>
      </c>
      <c r="R109" s="814">
        <f t="shared" ref="R109" si="73">R108/R107</f>
        <v>0.14550891144287137</v>
      </c>
      <c r="S109" s="814">
        <f>S108/S107</f>
        <v>0.17118859145567708</v>
      </c>
      <c r="T109" s="814">
        <f t="shared" ref="T109" si="74">T108/T107</f>
        <v>0.16149080442948435</v>
      </c>
      <c r="U109" s="814">
        <f t="shared" ref="U109" si="75">U108/U107</f>
        <v>0.14138470166374931</v>
      </c>
      <c r="V109" s="814">
        <f t="shared" ref="V109" si="76">V108/V107</f>
        <v>0.13078591312228913</v>
      </c>
      <c r="W109" s="839">
        <f t="shared" si="43"/>
        <v>7.3294055773531233E-7</v>
      </c>
      <c r="X109" s="465">
        <v>178440</v>
      </c>
      <c r="AB109" s="10"/>
      <c r="AC109" s="10"/>
      <c r="AD109" s="10"/>
      <c r="AE109" s="10"/>
      <c r="AF109" s="10"/>
      <c r="AG109" s="10"/>
      <c r="AH109" s="10"/>
      <c r="AI109" s="10"/>
      <c r="AJ109" s="10"/>
      <c r="AK109" s="10"/>
      <c r="AL109" s="10"/>
      <c r="AM109" s="10"/>
      <c r="AN109" s="10"/>
      <c r="AO109" s="10"/>
      <c r="AP109" s="10"/>
      <c r="AQ109" s="10"/>
      <c r="AR109" s="10"/>
    </row>
    <row r="110" spans="1:97" x14ac:dyDescent="0.3">
      <c r="A110" s="807" t="s">
        <v>933</v>
      </c>
      <c r="B110" s="813">
        <f>B107+B108</f>
        <v>47670</v>
      </c>
      <c r="C110" s="813">
        <f t="shared" ref="C110:V110" si="77">C107+C108</f>
        <v>49773</v>
      </c>
      <c r="D110" s="813">
        <f t="shared" si="77"/>
        <v>59025</v>
      </c>
      <c r="E110" s="813">
        <f t="shared" si="77"/>
        <v>57822</v>
      </c>
      <c r="F110" s="813">
        <f t="shared" si="77"/>
        <v>54920</v>
      </c>
      <c r="G110" s="813">
        <f t="shared" si="77"/>
        <v>57516</v>
      </c>
      <c r="H110" s="813">
        <f t="shared" si="77"/>
        <v>59553</v>
      </c>
      <c r="I110" s="813">
        <f t="shared" si="77"/>
        <v>70061</v>
      </c>
      <c r="J110" s="813">
        <f t="shared" si="77"/>
        <v>69049</v>
      </c>
      <c r="K110" s="813">
        <f t="shared" si="77"/>
        <v>70186</v>
      </c>
      <c r="L110" s="813">
        <f t="shared" si="77"/>
        <v>79357</v>
      </c>
      <c r="M110" s="813">
        <f t="shared" si="77"/>
        <v>74105</v>
      </c>
      <c r="N110" s="813">
        <f t="shared" si="77"/>
        <v>88217</v>
      </c>
      <c r="O110" s="813">
        <f t="shared" si="77"/>
        <v>101047</v>
      </c>
      <c r="P110" s="813">
        <f t="shared" si="77"/>
        <v>104700</v>
      </c>
      <c r="Q110" s="813">
        <f t="shared" si="77"/>
        <v>108267</v>
      </c>
      <c r="R110" s="813">
        <f t="shared" si="77"/>
        <v>106884</v>
      </c>
      <c r="S110" s="813">
        <f t="shared" si="77"/>
        <v>116292</v>
      </c>
      <c r="T110" s="813">
        <f t="shared" si="77"/>
        <v>119047</v>
      </c>
      <c r="U110" s="813">
        <f t="shared" si="77"/>
        <v>134325</v>
      </c>
      <c r="V110" s="813">
        <f t="shared" si="77"/>
        <v>139738</v>
      </c>
      <c r="W110" s="839">
        <f t="shared" si="43"/>
        <v>0.78310916834790401</v>
      </c>
      <c r="X110" s="465">
        <v>178440</v>
      </c>
      <c r="AB110" s="10"/>
      <c r="AC110" s="10"/>
      <c r="AD110" s="10"/>
      <c r="AE110" s="10"/>
      <c r="AF110" s="10"/>
      <c r="AG110" s="10"/>
      <c r="AH110" s="10"/>
      <c r="AI110" s="10"/>
      <c r="AJ110" s="10"/>
      <c r="AK110" s="10"/>
      <c r="AL110" s="10"/>
      <c r="AM110" s="10"/>
      <c r="AN110" s="10"/>
      <c r="AO110" s="10"/>
      <c r="AP110" s="10"/>
      <c r="AQ110" s="10"/>
      <c r="AR110" s="10"/>
    </row>
    <row r="111" spans="1:97" x14ac:dyDescent="0.3">
      <c r="A111" s="80" t="s">
        <v>88</v>
      </c>
      <c r="B111" s="580">
        <f>B112-B110</f>
        <v>17498</v>
      </c>
      <c r="C111" s="580">
        <f t="shared" ref="C111:V111" si="78">C112-C110</f>
        <v>15659</v>
      </c>
      <c r="D111" s="580">
        <f t="shared" si="78"/>
        <v>17101</v>
      </c>
      <c r="E111" s="580">
        <f t="shared" si="78"/>
        <v>17770</v>
      </c>
      <c r="F111" s="580">
        <f t="shared" si="78"/>
        <v>17272</v>
      </c>
      <c r="G111" s="580">
        <f t="shared" si="78"/>
        <v>19555</v>
      </c>
      <c r="H111" s="580">
        <f t="shared" si="78"/>
        <v>19836</v>
      </c>
      <c r="I111" s="580">
        <f t="shared" si="78"/>
        <v>20776</v>
      </c>
      <c r="J111" s="580">
        <f t="shared" si="78"/>
        <v>22323</v>
      </c>
      <c r="K111" s="580">
        <f t="shared" si="78"/>
        <v>24162</v>
      </c>
      <c r="L111" s="580">
        <f t="shared" si="78"/>
        <v>30498</v>
      </c>
      <c r="M111" s="580">
        <f t="shared" si="78"/>
        <v>27595</v>
      </c>
      <c r="N111" s="580">
        <f t="shared" si="78"/>
        <v>34312</v>
      </c>
      <c r="O111" s="580">
        <f t="shared" si="78"/>
        <v>39874</v>
      </c>
      <c r="P111" s="580">
        <f t="shared" si="78"/>
        <v>42187</v>
      </c>
      <c r="Q111" s="580">
        <f t="shared" si="78"/>
        <v>40900</v>
      </c>
      <c r="R111" s="580">
        <f t="shared" si="78"/>
        <v>39360</v>
      </c>
      <c r="S111" s="580">
        <f t="shared" si="78"/>
        <v>36796</v>
      </c>
      <c r="T111" s="580">
        <f t="shared" si="78"/>
        <v>37321</v>
      </c>
      <c r="U111" s="580">
        <f t="shared" si="78"/>
        <v>40333</v>
      </c>
      <c r="V111" s="580">
        <f t="shared" si="78"/>
        <v>38702</v>
      </c>
      <c r="W111" s="839">
        <f t="shared" si="43"/>
        <v>0.21689083165209594</v>
      </c>
      <c r="X111" s="465">
        <v>178440</v>
      </c>
      <c r="AB111" s="10"/>
      <c r="AC111" s="10"/>
      <c r="AD111" s="10"/>
      <c r="AE111" s="10"/>
      <c r="AF111" s="10"/>
      <c r="AG111" s="10"/>
      <c r="AH111" s="10"/>
      <c r="AI111" s="10"/>
      <c r="AJ111" s="10"/>
      <c r="AK111" s="10"/>
      <c r="AL111" s="10"/>
      <c r="AM111" s="10"/>
      <c r="AN111" s="10"/>
      <c r="AO111" s="10"/>
      <c r="AP111" s="10"/>
      <c r="AQ111" s="10"/>
      <c r="AR111" s="10"/>
    </row>
    <row r="112" spans="1:97" s="878" customFormat="1" x14ac:dyDescent="0.3">
      <c r="A112" s="878" t="s">
        <v>934</v>
      </c>
      <c r="B112" s="888">
        <f>'8. Country data'!B71</f>
        <v>65168</v>
      </c>
      <c r="C112" s="888">
        <f>'8. Country data'!C71</f>
        <v>65432</v>
      </c>
      <c r="D112" s="888">
        <f>'8. Country data'!D71</f>
        <v>76126</v>
      </c>
      <c r="E112" s="888">
        <f>'8. Country data'!E71</f>
        <v>75592</v>
      </c>
      <c r="F112" s="888">
        <f>'8. Country data'!F71</f>
        <v>72192</v>
      </c>
      <c r="G112" s="888">
        <f>'8. Country data'!G71</f>
        <v>77071</v>
      </c>
      <c r="H112" s="888">
        <f>'8. Country data'!H71</f>
        <v>79389</v>
      </c>
      <c r="I112" s="888">
        <f>'8. Country data'!I71</f>
        <v>90837</v>
      </c>
      <c r="J112" s="888">
        <f>'8. Country data'!J71</f>
        <v>91372</v>
      </c>
      <c r="K112" s="888">
        <f>'8. Country data'!K71</f>
        <v>94348</v>
      </c>
      <c r="L112" s="888">
        <f>'8. Country data'!L71</f>
        <v>109855</v>
      </c>
      <c r="M112" s="888">
        <f>'8. Country data'!M71</f>
        <v>101700</v>
      </c>
      <c r="N112" s="888">
        <f>'8. Country data'!N71</f>
        <v>122529</v>
      </c>
      <c r="O112" s="888">
        <f>'8. Country data'!O71</f>
        <v>140921</v>
      </c>
      <c r="P112" s="888">
        <f>'8. Country data'!P71</f>
        <v>146887</v>
      </c>
      <c r="Q112" s="888">
        <f>'8. Country data'!Q71</f>
        <v>149167</v>
      </c>
      <c r="R112" s="888">
        <f>'8. Country data'!R71</f>
        <v>146244</v>
      </c>
      <c r="S112" s="888">
        <f>'8. Country data'!S71</f>
        <v>153088</v>
      </c>
      <c r="T112" s="888">
        <f>'8. Country data'!T71</f>
        <v>156368</v>
      </c>
      <c r="U112" s="888">
        <f>'8. Country data'!U71</f>
        <v>174658</v>
      </c>
      <c r="V112" s="888">
        <f>'8. Country data'!V71</f>
        <v>178440</v>
      </c>
      <c r="W112" s="874">
        <f t="shared" si="43"/>
        <v>1</v>
      </c>
      <c r="X112" s="878">
        <v>178440</v>
      </c>
      <c r="AB112" s="877"/>
      <c r="AC112" s="877"/>
      <c r="AD112" s="877"/>
      <c r="AE112" s="877"/>
      <c r="AF112" s="877"/>
      <c r="AG112" s="877"/>
      <c r="AH112" s="877"/>
      <c r="AI112" s="877"/>
      <c r="AJ112" s="877"/>
      <c r="AK112" s="877"/>
      <c r="AL112" s="877"/>
      <c r="AM112" s="877"/>
      <c r="AN112" s="877"/>
      <c r="AO112" s="877"/>
      <c r="AP112" s="877"/>
      <c r="AQ112" s="877"/>
      <c r="AR112" s="877"/>
    </row>
    <row r="113" spans="1:44" s="843" customFormat="1" x14ac:dyDescent="0.3">
      <c r="A113" s="893" t="s">
        <v>90</v>
      </c>
      <c r="B113" s="893">
        <v>20611</v>
      </c>
      <c r="C113" s="893">
        <v>20578</v>
      </c>
      <c r="D113" s="893">
        <v>22854</v>
      </c>
      <c r="E113" s="893">
        <v>22504</v>
      </c>
      <c r="F113" s="893">
        <v>21068</v>
      </c>
      <c r="G113" s="893">
        <v>19911</v>
      </c>
      <c r="H113" s="893">
        <v>21015</v>
      </c>
      <c r="I113" s="893">
        <v>22360</v>
      </c>
      <c r="J113" s="893">
        <v>26428</v>
      </c>
      <c r="K113" s="893">
        <v>24039</v>
      </c>
      <c r="L113" s="893">
        <v>27932</v>
      </c>
      <c r="M113" s="893">
        <v>24327</v>
      </c>
      <c r="N113" s="893">
        <v>28141</v>
      </c>
      <c r="O113" s="893">
        <v>33157</v>
      </c>
      <c r="P113" s="893">
        <v>32371</v>
      </c>
      <c r="Q113" s="893">
        <v>29489</v>
      </c>
      <c r="R113" s="893">
        <v>30831</v>
      </c>
      <c r="S113" s="893">
        <v>30487</v>
      </c>
      <c r="T113" s="893">
        <v>32403</v>
      </c>
      <c r="U113" s="893">
        <v>37182</v>
      </c>
      <c r="V113" s="893">
        <v>36517</v>
      </c>
      <c r="AA113" s="10"/>
      <c r="AB113" s="10"/>
      <c r="AC113" s="10"/>
      <c r="AD113" s="10"/>
      <c r="AE113" s="10"/>
      <c r="AF113" s="10"/>
      <c r="AG113" s="10"/>
      <c r="AH113" s="10"/>
      <c r="AI113" s="10"/>
      <c r="AJ113" s="10"/>
      <c r="AK113" s="10"/>
      <c r="AL113" s="10"/>
      <c r="AM113" s="10"/>
      <c r="AN113" s="10"/>
      <c r="AO113" s="10"/>
      <c r="AP113" s="10"/>
      <c r="AQ113" s="10"/>
    </row>
    <row r="114" spans="1:44" s="895" customFormat="1" x14ac:dyDescent="0.3">
      <c r="A114" s="897" t="s">
        <v>375</v>
      </c>
      <c r="B114" s="897">
        <v>12980</v>
      </c>
      <c r="C114" s="897">
        <v>13594</v>
      </c>
      <c r="D114" s="897">
        <v>15012</v>
      </c>
      <c r="E114" s="897">
        <v>14853</v>
      </c>
      <c r="F114" s="897">
        <v>14272</v>
      </c>
      <c r="G114" s="897">
        <v>13790</v>
      </c>
      <c r="H114" s="897">
        <v>12454</v>
      </c>
      <c r="I114" s="897">
        <v>13106</v>
      </c>
      <c r="J114" s="897">
        <v>17155</v>
      </c>
      <c r="K114" s="897">
        <v>15474</v>
      </c>
      <c r="L114" s="897">
        <v>20028</v>
      </c>
      <c r="M114" s="897">
        <v>18588</v>
      </c>
      <c r="N114" s="897">
        <v>22092</v>
      </c>
      <c r="O114" s="897">
        <v>24140</v>
      </c>
      <c r="P114" s="897">
        <v>25262</v>
      </c>
      <c r="Q114" s="897">
        <v>24866</v>
      </c>
      <c r="R114" s="897">
        <v>22918</v>
      </c>
      <c r="S114" s="897">
        <v>17486</v>
      </c>
      <c r="T114" s="897">
        <v>19052</v>
      </c>
      <c r="U114" s="897">
        <v>22032</v>
      </c>
      <c r="V114" s="897">
        <v>26487</v>
      </c>
      <c r="Z114" s="10"/>
      <c r="AA114" s="10"/>
      <c r="AB114" s="10"/>
      <c r="AC114" s="10"/>
      <c r="AD114" s="10"/>
      <c r="AE114" s="10"/>
      <c r="AF114" s="10"/>
      <c r="AG114" s="10"/>
      <c r="AH114" s="10"/>
      <c r="AI114" s="10"/>
      <c r="AJ114" s="10"/>
      <c r="AK114" s="10"/>
      <c r="AL114" s="10"/>
      <c r="AM114" s="10"/>
      <c r="AN114" s="10"/>
      <c r="AO114" s="10"/>
      <c r="AP114" s="10"/>
    </row>
    <row r="115" spans="1:44" s="843" customFormat="1" x14ac:dyDescent="0.3">
      <c r="A115" s="894" t="s">
        <v>91</v>
      </c>
      <c r="B115" s="894">
        <v>16579</v>
      </c>
      <c r="C115" s="894">
        <v>17043</v>
      </c>
      <c r="D115" s="894">
        <v>18545</v>
      </c>
      <c r="E115" s="894">
        <v>18755</v>
      </c>
      <c r="F115" s="894">
        <v>18447</v>
      </c>
      <c r="G115" s="894">
        <v>18354</v>
      </c>
      <c r="H115" s="894">
        <v>18337</v>
      </c>
      <c r="I115" s="894">
        <v>19525</v>
      </c>
      <c r="J115" s="894">
        <v>28735</v>
      </c>
      <c r="K115" s="894">
        <v>17530</v>
      </c>
      <c r="L115" s="894">
        <v>18195</v>
      </c>
      <c r="M115" s="894">
        <v>17349</v>
      </c>
      <c r="N115" s="894">
        <v>19489</v>
      </c>
      <c r="O115" s="894">
        <v>22590</v>
      </c>
      <c r="P115" s="894">
        <v>21212</v>
      </c>
      <c r="Q115" s="894">
        <v>20934</v>
      </c>
      <c r="R115" s="894">
        <v>18847</v>
      </c>
      <c r="S115" s="894">
        <v>17904</v>
      </c>
      <c r="T115" s="894">
        <v>19516</v>
      </c>
      <c r="U115" s="894">
        <v>24214</v>
      </c>
      <c r="V115" s="894">
        <v>24483</v>
      </c>
      <c r="AA115" s="10"/>
      <c r="AB115" s="10"/>
      <c r="AC115" s="10"/>
      <c r="AD115" s="10"/>
      <c r="AE115" s="10"/>
      <c r="AF115" s="10"/>
      <c r="AG115" s="10"/>
      <c r="AH115" s="10"/>
      <c r="AI115" s="10"/>
      <c r="AJ115" s="10"/>
      <c r="AK115" s="10"/>
      <c r="AL115" s="10"/>
      <c r="AM115" s="10"/>
      <c r="AN115" s="10"/>
      <c r="AO115" s="10"/>
      <c r="AP115" s="10"/>
      <c r="AQ115" s="10"/>
    </row>
    <row r="116" spans="1:44" s="843" customFormat="1" x14ac:dyDescent="0.3">
      <c r="A116" s="896" t="s">
        <v>889</v>
      </c>
      <c r="B116" s="896">
        <v>10168</v>
      </c>
      <c r="C116" s="896">
        <v>11463</v>
      </c>
      <c r="D116" s="896">
        <v>13028</v>
      </c>
      <c r="E116" s="896">
        <v>14839</v>
      </c>
      <c r="F116" s="896">
        <v>16410</v>
      </c>
      <c r="G116" s="896">
        <v>13338</v>
      </c>
      <c r="H116" s="896">
        <v>14670</v>
      </c>
      <c r="I116" s="896">
        <v>16904</v>
      </c>
      <c r="J116" s="896">
        <v>17896</v>
      </c>
      <c r="K116" s="896">
        <v>18415</v>
      </c>
      <c r="L116" s="896">
        <v>19440</v>
      </c>
      <c r="M116" s="896">
        <v>16201</v>
      </c>
      <c r="N116" s="896">
        <v>17431</v>
      </c>
      <c r="O116" s="896">
        <v>18721</v>
      </c>
      <c r="P116" s="896">
        <v>17880</v>
      </c>
      <c r="Q116" s="896">
        <v>19200</v>
      </c>
      <c r="R116" s="896">
        <v>18393</v>
      </c>
      <c r="S116" s="896">
        <v>16899</v>
      </c>
      <c r="T116" s="896">
        <v>16982</v>
      </c>
      <c r="U116" s="896">
        <v>20429</v>
      </c>
      <c r="V116" s="896">
        <v>22211</v>
      </c>
      <c r="AA116" s="10"/>
      <c r="AB116" s="10"/>
      <c r="AC116" s="10"/>
      <c r="AD116" s="10"/>
      <c r="AE116" s="10"/>
      <c r="AF116" s="10"/>
      <c r="AG116" s="10"/>
      <c r="AH116" s="10"/>
      <c r="AI116" s="10"/>
      <c r="AJ116" s="10"/>
      <c r="AK116" s="10"/>
      <c r="AL116" s="10"/>
      <c r="AM116" s="10"/>
      <c r="AN116" s="10"/>
      <c r="AO116" s="10"/>
      <c r="AP116" s="10"/>
      <c r="AQ116" s="10"/>
    </row>
    <row r="117" spans="1:44" s="843" customFormat="1" x14ac:dyDescent="0.3">
      <c r="A117" s="898" t="s">
        <v>374</v>
      </c>
      <c r="B117" s="898">
        <v>8611</v>
      </c>
      <c r="C117" s="898">
        <v>7913</v>
      </c>
      <c r="D117" s="898">
        <v>8504</v>
      </c>
      <c r="E117" s="898">
        <v>8312</v>
      </c>
      <c r="F117" s="898">
        <v>8506</v>
      </c>
      <c r="G117" s="898">
        <v>8670</v>
      </c>
      <c r="H117" s="898">
        <v>8479</v>
      </c>
      <c r="I117" s="898">
        <v>8824</v>
      </c>
      <c r="J117" s="898">
        <v>9553</v>
      </c>
      <c r="K117" s="898">
        <v>9208</v>
      </c>
      <c r="L117" s="898">
        <v>9415</v>
      </c>
      <c r="M117" s="898">
        <v>8383</v>
      </c>
      <c r="N117" s="898">
        <v>8950</v>
      </c>
      <c r="O117" s="898">
        <v>10197</v>
      </c>
      <c r="P117" s="898">
        <v>8087</v>
      </c>
      <c r="Q117" s="898">
        <v>8464</v>
      </c>
      <c r="R117" s="898">
        <v>8796</v>
      </c>
      <c r="S117" s="898">
        <v>8384</v>
      </c>
      <c r="T117" s="898">
        <v>9678</v>
      </c>
      <c r="U117" s="898">
        <v>10360</v>
      </c>
      <c r="V117" s="898">
        <v>10700</v>
      </c>
      <c r="AA117" s="10"/>
      <c r="AB117" s="10"/>
      <c r="AC117" s="10"/>
      <c r="AD117" s="10"/>
      <c r="AE117" s="10"/>
      <c r="AF117" s="10"/>
      <c r="AG117" s="10"/>
      <c r="AH117" s="10"/>
      <c r="AI117" s="10"/>
      <c r="AJ117" s="10"/>
      <c r="AK117" s="10"/>
      <c r="AL117" s="10"/>
      <c r="AM117" s="10"/>
      <c r="AN117" s="10"/>
      <c r="AO117" s="10"/>
      <c r="AP117" s="10"/>
      <c r="AQ117" s="10"/>
    </row>
    <row r="118" spans="1:44" s="843" customFormat="1" x14ac:dyDescent="0.3">
      <c r="A118" s="900" t="s">
        <v>93</v>
      </c>
      <c r="B118" s="900">
        <v>7183</v>
      </c>
      <c r="C118" s="900">
        <v>7525</v>
      </c>
      <c r="D118" s="900">
        <v>8308</v>
      </c>
      <c r="E118" s="900">
        <v>8456</v>
      </c>
      <c r="F118" s="900">
        <v>8596</v>
      </c>
      <c r="G118" s="900">
        <v>9106</v>
      </c>
      <c r="H118" s="900">
        <v>9358</v>
      </c>
      <c r="I118" s="900">
        <v>10923</v>
      </c>
      <c r="J118" s="900">
        <v>12732</v>
      </c>
      <c r="K118" s="900">
        <v>10153</v>
      </c>
      <c r="L118" s="900">
        <v>10273</v>
      </c>
      <c r="M118" s="900">
        <v>9349</v>
      </c>
      <c r="N118" s="900">
        <v>10044</v>
      </c>
      <c r="O118" s="900">
        <v>9955</v>
      </c>
      <c r="P118" s="900">
        <v>8546</v>
      </c>
      <c r="Q118" s="900">
        <v>8823</v>
      </c>
      <c r="R118" s="900">
        <v>8980</v>
      </c>
      <c r="S118" s="900">
        <v>8837</v>
      </c>
      <c r="T118" s="900">
        <v>9421</v>
      </c>
      <c r="U118" s="900">
        <v>10349</v>
      </c>
      <c r="V118" s="900">
        <v>10388</v>
      </c>
      <c r="AA118" s="10"/>
      <c r="AB118" s="10"/>
      <c r="AC118" s="10"/>
      <c r="AD118" s="10"/>
      <c r="AE118" s="10"/>
      <c r="AF118" s="10"/>
      <c r="AG118" s="10"/>
      <c r="AH118" s="10"/>
      <c r="AI118" s="10"/>
      <c r="AJ118" s="10"/>
      <c r="AK118" s="10"/>
      <c r="AL118" s="10"/>
      <c r="AM118" s="10"/>
      <c r="AN118" s="10"/>
      <c r="AO118" s="10"/>
      <c r="AP118" s="10"/>
      <c r="AQ118" s="10"/>
    </row>
    <row r="119" spans="1:44" s="843" customFormat="1" x14ac:dyDescent="0.3">
      <c r="A119" s="80"/>
      <c r="B119" s="847"/>
      <c r="C119" s="847"/>
      <c r="D119" s="847"/>
      <c r="E119" s="847"/>
      <c r="F119" s="847"/>
      <c r="G119" s="847"/>
      <c r="H119" s="847"/>
      <c r="I119" s="847"/>
      <c r="J119" s="847"/>
      <c r="K119" s="847"/>
      <c r="L119" s="847"/>
      <c r="M119" s="847"/>
      <c r="N119" s="847"/>
      <c r="O119" s="847"/>
      <c r="P119" s="847"/>
      <c r="Q119" s="847"/>
      <c r="R119" s="847"/>
      <c r="S119" s="847"/>
      <c r="T119" s="847"/>
      <c r="U119" s="847"/>
      <c r="V119" s="847"/>
      <c r="W119" s="839"/>
      <c r="AB119" s="10"/>
      <c r="AC119" s="10"/>
      <c r="AD119" s="10"/>
      <c r="AE119" s="10"/>
      <c r="AF119" s="10"/>
      <c r="AG119" s="10"/>
      <c r="AH119" s="10"/>
      <c r="AI119" s="10"/>
      <c r="AJ119" s="10"/>
      <c r="AK119" s="10"/>
      <c r="AL119" s="10"/>
      <c r="AM119" s="10"/>
      <c r="AN119" s="10"/>
      <c r="AO119" s="10"/>
      <c r="AP119" s="10"/>
      <c r="AQ119" s="10"/>
      <c r="AR119" s="10"/>
    </row>
    <row r="120" spans="1:44" s="843" customFormat="1" x14ac:dyDescent="0.3">
      <c r="A120" s="80"/>
      <c r="B120" s="847"/>
      <c r="C120" s="847"/>
      <c r="D120" s="847"/>
      <c r="E120" s="847"/>
      <c r="F120" s="847"/>
      <c r="G120" s="847"/>
      <c r="H120" s="847"/>
      <c r="I120" s="847"/>
      <c r="J120" s="847"/>
      <c r="K120" s="847"/>
      <c r="L120" s="847"/>
      <c r="M120" s="847"/>
      <c r="N120" s="847"/>
      <c r="O120" s="847"/>
      <c r="P120" s="847"/>
      <c r="Q120" s="847"/>
      <c r="R120" s="847"/>
      <c r="S120" s="847"/>
      <c r="T120" s="847"/>
      <c r="U120" s="847"/>
      <c r="V120" s="847"/>
      <c r="W120" s="839"/>
      <c r="AB120" s="10"/>
      <c r="AC120" s="10"/>
      <c r="AD120" s="10"/>
      <c r="AE120" s="10"/>
      <c r="AF120" s="10"/>
      <c r="AG120" s="10"/>
      <c r="AH120" s="10"/>
      <c r="AI120" s="10"/>
      <c r="AJ120" s="10"/>
      <c r="AK120" s="10"/>
      <c r="AL120" s="10"/>
      <c r="AM120" s="10"/>
      <c r="AN120" s="10"/>
      <c r="AO120" s="10"/>
      <c r="AP120" s="10"/>
      <c r="AQ120" s="10"/>
      <c r="AR120" s="10"/>
    </row>
    <row r="121" spans="1:44" s="843" customFormat="1" x14ac:dyDescent="0.3">
      <c r="A121" s="80"/>
      <c r="B121" s="847"/>
      <c r="C121" s="847"/>
      <c r="D121" s="847"/>
      <c r="E121" s="847"/>
      <c r="F121" s="847"/>
      <c r="G121" s="847"/>
      <c r="H121" s="847"/>
      <c r="I121" s="847"/>
      <c r="J121" s="847"/>
      <c r="K121" s="847"/>
      <c r="L121" s="847"/>
      <c r="M121" s="847"/>
      <c r="N121" s="847"/>
      <c r="O121" s="847"/>
      <c r="P121" s="847"/>
      <c r="Q121" s="847"/>
      <c r="R121" s="847"/>
      <c r="S121" s="847"/>
      <c r="T121" s="847"/>
      <c r="U121" s="847"/>
      <c r="V121" s="847"/>
      <c r="W121" s="839"/>
      <c r="AB121" s="10"/>
      <c r="AC121" s="10"/>
      <c r="AD121" s="10"/>
      <c r="AE121" s="10"/>
      <c r="AF121" s="10"/>
      <c r="AG121" s="10"/>
      <c r="AH121" s="10"/>
      <c r="AI121" s="10"/>
      <c r="AJ121" s="10"/>
      <c r="AK121" s="10"/>
      <c r="AL121" s="10"/>
      <c r="AM121" s="10"/>
      <c r="AN121" s="10"/>
      <c r="AO121" s="10"/>
      <c r="AP121" s="10"/>
      <c r="AQ121" s="10"/>
      <c r="AR121" s="10"/>
    </row>
    <row r="122" spans="1:44" s="843" customFormat="1" x14ac:dyDescent="0.3">
      <c r="A122" s="80"/>
      <c r="B122" s="847"/>
      <c r="C122" s="847"/>
      <c r="D122" s="847"/>
      <c r="E122" s="847"/>
      <c r="F122" s="847"/>
      <c r="G122" s="847"/>
      <c r="H122" s="847"/>
      <c r="I122" s="847"/>
      <c r="J122" s="847"/>
      <c r="K122" s="847"/>
      <c r="L122" s="847"/>
      <c r="M122" s="847"/>
      <c r="N122" s="847"/>
      <c r="O122" s="847"/>
      <c r="P122" s="847"/>
      <c r="Q122" s="847"/>
      <c r="R122" s="847"/>
      <c r="S122" s="847"/>
      <c r="T122" s="847"/>
      <c r="U122" s="847"/>
      <c r="V122" s="847"/>
      <c r="W122" s="839"/>
      <c r="AB122" s="10"/>
      <c r="AC122" s="10"/>
      <c r="AD122" s="10"/>
      <c r="AE122" s="10"/>
      <c r="AF122" s="10"/>
      <c r="AG122" s="10"/>
      <c r="AH122" s="10"/>
      <c r="AI122" s="10"/>
      <c r="AJ122" s="10"/>
      <c r="AK122" s="10"/>
      <c r="AL122" s="10"/>
      <c r="AM122" s="10"/>
      <c r="AN122" s="10"/>
      <c r="AO122" s="10"/>
      <c r="AP122" s="10"/>
      <c r="AQ122" s="10"/>
      <c r="AR122" s="10"/>
    </row>
    <row r="123" spans="1:44" x14ac:dyDescent="0.3">
      <c r="A123" s="80"/>
      <c r="U123" s="598"/>
      <c r="AB123" s="10"/>
      <c r="AC123" s="10"/>
      <c r="AD123" s="10"/>
      <c r="AE123" s="10"/>
      <c r="AF123" s="10"/>
      <c r="AG123" s="10"/>
      <c r="AH123" s="10"/>
      <c r="AI123" s="10"/>
      <c r="AJ123" s="10"/>
      <c r="AK123" s="10"/>
      <c r="AL123" s="10"/>
      <c r="AM123" s="10"/>
      <c r="AN123" s="10"/>
      <c r="AO123" s="10"/>
      <c r="AP123" s="10"/>
      <c r="AQ123" s="10"/>
      <c r="AR123" s="10"/>
    </row>
    <row r="124" spans="1:44" ht="24.6" customHeight="1" x14ac:dyDescent="0.35">
      <c r="A124" s="201" t="s">
        <v>640</v>
      </c>
    </row>
    <row r="125" spans="1:44" ht="18" x14ac:dyDescent="0.35">
      <c r="A125" s="201" t="s">
        <v>686</v>
      </c>
    </row>
    <row r="126" spans="1:44" ht="28.95" customHeight="1" thickBot="1" x14ac:dyDescent="0.35">
      <c r="A126" s="976" t="s">
        <v>687</v>
      </c>
      <c r="B126" s="976"/>
      <c r="C126" s="976"/>
      <c r="D126" s="976"/>
      <c r="E126" s="976"/>
      <c r="F126" s="976"/>
      <c r="G126" s="976"/>
      <c r="H126" s="751"/>
      <c r="I126" s="751"/>
      <c r="J126" s="751"/>
    </row>
    <row r="127" spans="1:44" s="106" customFormat="1" x14ac:dyDescent="0.3">
      <c r="A127" s="378" t="s">
        <v>48</v>
      </c>
      <c r="B127" s="622" t="s">
        <v>0</v>
      </c>
      <c r="C127" s="379" t="s">
        <v>1</v>
      </c>
      <c r="D127" s="379" t="s">
        <v>2</v>
      </c>
      <c r="E127" s="379">
        <v>2001</v>
      </c>
      <c r="F127" s="379" t="s">
        <v>4</v>
      </c>
      <c r="G127" s="379" t="s">
        <v>5</v>
      </c>
      <c r="H127" s="379" t="s">
        <v>6</v>
      </c>
      <c r="I127" s="379" t="s">
        <v>7</v>
      </c>
      <c r="J127" s="379" t="s">
        <v>8</v>
      </c>
      <c r="K127" s="379" t="s">
        <v>9</v>
      </c>
      <c r="L127" s="379" t="s">
        <v>10</v>
      </c>
      <c r="M127" s="379" t="s">
        <v>11</v>
      </c>
      <c r="N127" s="379" t="s">
        <v>12</v>
      </c>
      <c r="O127" s="379" t="s">
        <v>13</v>
      </c>
      <c r="P127" s="379" t="s">
        <v>14</v>
      </c>
      <c r="Q127" s="379" t="s">
        <v>15</v>
      </c>
      <c r="R127" s="379" t="s">
        <v>16</v>
      </c>
      <c r="S127" s="379" t="s">
        <v>17</v>
      </c>
      <c r="T127" s="379" t="s">
        <v>18</v>
      </c>
      <c r="U127" s="379">
        <v>2017</v>
      </c>
      <c r="V127" s="382">
        <v>2018</v>
      </c>
      <c r="AB127" s="465"/>
      <c r="AC127" s="465"/>
      <c r="AD127" s="465"/>
      <c r="AE127" s="465"/>
      <c r="AF127" s="465"/>
      <c r="AG127" s="465"/>
      <c r="AH127" s="465"/>
      <c r="AI127" s="465"/>
      <c r="AJ127" s="465"/>
      <c r="AK127" s="465"/>
      <c r="AL127" s="465"/>
      <c r="AM127" s="465"/>
      <c r="AN127" s="465"/>
      <c r="AO127" s="465"/>
      <c r="AP127" s="465"/>
      <c r="AQ127" s="465"/>
      <c r="AR127" s="465"/>
    </row>
    <row r="128" spans="1:44" x14ac:dyDescent="0.3">
      <c r="A128" s="380" t="s">
        <v>481</v>
      </c>
      <c r="B128" s="137">
        <v>80.099999999999994</v>
      </c>
      <c r="C128" s="623">
        <v>79.599999999999994</v>
      </c>
      <c r="D128" s="623">
        <v>81.7</v>
      </c>
      <c r="E128" s="623">
        <v>81.599999999999994</v>
      </c>
      <c r="F128" s="623">
        <v>79.3</v>
      </c>
      <c r="G128" s="623">
        <v>79.400000000000006</v>
      </c>
      <c r="H128" s="623">
        <v>78.3</v>
      </c>
      <c r="I128" s="623">
        <v>81</v>
      </c>
      <c r="J128" s="623">
        <v>83.1</v>
      </c>
      <c r="K128" s="623">
        <v>83.6</v>
      </c>
      <c r="L128" s="623">
        <v>93.9</v>
      </c>
      <c r="M128" s="623">
        <v>95.8</v>
      </c>
      <c r="N128" s="623">
        <v>99.2</v>
      </c>
      <c r="O128" s="623">
        <v>106.1</v>
      </c>
      <c r="P128" s="623">
        <v>105.3</v>
      </c>
      <c r="Q128" s="623">
        <v>106.3</v>
      </c>
      <c r="R128" s="623">
        <v>101.9</v>
      </c>
      <c r="S128" s="623">
        <v>96</v>
      </c>
      <c r="T128" s="623">
        <v>100</v>
      </c>
      <c r="U128" s="119">
        <v>105.4</v>
      </c>
      <c r="V128" s="142">
        <v>108.6</v>
      </c>
    </row>
    <row r="129" spans="1:44" x14ac:dyDescent="0.3">
      <c r="A129" s="624" t="s">
        <v>483</v>
      </c>
      <c r="B129" s="197">
        <f>B128/100</f>
        <v>0.80099999999999993</v>
      </c>
      <c r="C129" s="190">
        <f>C128/100</f>
        <v>0.79599999999999993</v>
      </c>
      <c r="D129" s="190">
        <f>D128/100</f>
        <v>0.81700000000000006</v>
      </c>
      <c r="E129" s="190">
        <f>E128/100</f>
        <v>0.81599999999999995</v>
      </c>
      <c r="F129" s="190">
        <f t="shared" ref="F129:V129" si="79">F128/100</f>
        <v>0.79299999999999993</v>
      </c>
      <c r="G129" s="190">
        <f t="shared" si="79"/>
        <v>0.79400000000000004</v>
      </c>
      <c r="H129" s="190">
        <f t="shared" si="79"/>
        <v>0.78299999999999992</v>
      </c>
      <c r="I129" s="190">
        <f t="shared" si="79"/>
        <v>0.81</v>
      </c>
      <c r="J129" s="190">
        <f t="shared" si="79"/>
        <v>0.83099999999999996</v>
      </c>
      <c r="K129" s="190">
        <f t="shared" si="79"/>
        <v>0.83599999999999997</v>
      </c>
      <c r="L129" s="190">
        <f t="shared" si="79"/>
        <v>0.93900000000000006</v>
      </c>
      <c r="M129" s="190">
        <f t="shared" si="79"/>
        <v>0.95799999999999996</v>
      </c>
      <c r="N129" s="190">
        <f t="shared" si="79"/>
        <v>0.99199999999999999</v>
      </c>
      <c r="O129" s="190">
        <f t="shared" si="79"/>
        <v>1.0609999999999999</v>
      </c>
      <c r="P129" s="190">
        <f t="shared" si="79"/>
        <v>1.0529999999999999</v>
      </c>
      <c r="Q129" s="190">
        <f t="shared" si="79"/>
        <v>1.0629999999999999</v>
      </c>
      <c r="R129" s="190">
        <f t="shared" si="79"/>
        <v>1.0190000000000001</v>
      </c>
      <c r="S129" s="190">
        <f t="shared" si="79"/>
        <v>0.96</v>
      </c>
      <c r="T129" s="190">
        <f t="shared" si="79"/>
        <v>1</v>
      </c>
      <c r="U129" s="190">
        <f>U128/100</f>
        <v>1.054</v>
      </c>
      <c r="V129" s="191">
        <f t="shared" si="79"/>
        <v>1.0859999999999999</v>
      </c>
    </row>
    <row r="130" spans="1:44" x14ac:dyDescent="0.3">
      <c r="A130" s="454" t="s">
        <v>482</v>
      </c>
      <c r="B130" s="137">
        <v>73.900000000000006</v>
      </c>
      <c r="C130" s="623">
        <v>74.2</v>
      </c>
      <c r="D130" s="623">
        <v>76</v>
      </c>
      <c r="E130" s="623">
        <v>76.5</v>
      </c>
      <c r="F130" s="623">
        <v>75.400000000000006</v>
      </c>
      <c r="G130" s="623">
        <v>76.599999999999994</v>
      </c>
      <c r="H130" s="623">
        <v>76</v>
      </c>
      <c r="I130" s="623">
        <v>78.599999999999994</v>
      </c>
      <c r="J130" s="623">
        <v>80.099999999999994</v>
      </c>
      <c r="K130" s="623">
        <v>79.2</v>
      </c>
      <c r="L130" s="623">
        <v>86.9</v>
      </c>
      <c r="M130" s="623">
        <v>90.2</v>
      </c>
      <c r="N130" s="623">
        <v>94.9</v>
      </c>
      <c r="O130" s="623">
        <v>99.8</v>
      </c>
      <c r="P130" s="623">
        <v>99.3</v>
      </c>
      <c r="Q130" s="623">
        <v>101.5</v>
      </c>
      <c r="R130" s="623">
        <v>98.6</v>
      </c>
      <c r="S130" s="623">
        <v>94.3</v>
      </c>
      <c r="T130" s="623">
        <v>100</v>
      </c>
      <c r="U130" s="119">
        <v>105</v>
      </c>
      <c r="V130" s="142">
        <v>107.7</v>
      </c>
      <c r="AB130" s="106"/>
      <c r="AC130" s="106"/>
      <c r="AD130" s="106"/>
      <c r="AE130" s="106"/>
      <c r="AF130" s="106"/>
      <c r="AG130" s="106"/>
      <c r="AH130" s="106"/>
      <c r="AI130" s="106"/>
      <c r="AJ130" s="106"/>
      <c r="AK130" s="106"/>
      <c r="AL130" s="106"/>
      <c r="AM130" s="106"/>
      <c r="AN130" s="106"/>
      <c r="AO130" s="106"/>
      <c r="AP130" s="106"/>
      <c r="AQ130" s="106"/>
      <c r="AR130" s="106"/>
    </row>
    <row r="131" spans="1:44" ht="15" thickBot="1" x14ac:dyDescent="0.35">
      <c r="A131" s="456" t="s">
        <v>484</v>
      </c>
      <c r="B131" s="625">
        <f>B130/100</f>
        <v>0.7390000000000001</v>
      </c>
      <c r="C131" s="626">
        <f>C130/100</f>
        <v>0.74199999999999999</v>
      </c>
      <c r="D131" s="626">
        <f>D130/100</f>
        <v>0.76</v>
      </c>
      <c r="E131" s="626">
        <f>E130/100</f>
        <v>0.76500000000000001</v>
      </c>
      <c r="F131" s="626">
        <f t="shared" ref="F131:V131" si="80">F130/100</f>
        <v>0.754</v>
      </c>
      <c r="G131" s="626">
        <f t="shared" si="80"/>
        <v>0.7659999999999999</v>
      </c>
      <c r="H131" s="626">
        <f t="shared" si="80"/>
        <v>0.76</v>
      </c>
      <c r="I131" s="626">
        <f t="shared" si="80"/>
        <v>0.78599999999999992</v>
      </c>
      <c r="J131" s="626">
        <f t="shared" si="80"/>
        <v>0.80099999999999993</v>
      </c>
      <c r="K131" s="626">
        <f t="shared" si="80"/>
        <v>0.79200000000000004</v>
      </c>
      <c r="L131" s="626">
        <f t="shared" si="80"/>
        <v>0.86900000000000011</v>
      </c>
      <c r="M131" s="626">
        <f t="shared" si="80"/>
        <v>0.90200000000000002</v>
      </c>
      <c r="N131" s="626">
        <f t="shared" si="80"/>
        <v>0.94900000000000007</v>
      </c>
      <c r="O131" s="626">
        <f t="shared" si="80"/>
        <v>0.998</v>
      </c>
      <c r="P131" s="626">
        <f t="shared" si="80"/>
        <v>0.99299999999999999</v>
      </c>
      <c r="Q131" s="626">
        <f t="shared" si="80"/>
        <v>1.0149999999999999</v>
      </c>
      <c r="R131" s="626">
        <f t="shared" si="80"/>
        <v>0.98599999999999999</v>
      </c>
      <c r="S131" s="626">
        <f t="shared" si="80"/>
        <v>0.94299999999999995</v>
      </c>
      <c r="T131" s="626">
        <f t="shared" si="80"/>
        <v>1</v>
      </c>
      <c r="U131" s="626">
        <f>U130/100</f>
        <v>1.05</v>
      </c>
      <c r="V131" s="627">
        <f t="shared" si="80"/>
        <v>1.077</v>
      </c>
    </row>
    <row r="133" spans="1:44" x14ac:dyDescent="0.3">
      <c r="A133" s="92" t="s">
        <v>482</v>
      </c>
    </row>
    <row r="134" spans="1:44" x14ac:dyDescent="0.3">
      <c r="A134" s="92" t="s">
        <v>481</v>
      </c>
    </row>
    <row r="135" spans="1:44" ht="46.8" customHeight="1" x14ac:dyDescent="0.3">
      <c r="A135" s="971"/>
      <c r="B135" s="971"/>
      <c r="C135" s="971"/>
      <c r="D135" s="971"/>
      <c r="E135" s="971"/>
      <c r="F135" s="971"/>
      <c r="G135" s="971"/>
      <c r="H135" s="971"/>
      <c r="I135" s="971"/>
      <c r="J135" s="971"/>
      <c r="K135" s="971"/>
      <c r="L135" s="971"/>
      <c r="M135" s="971"/>
    </row>
    <row r="136" spans="1:44" x14ac:dyDescent="0.3">
      <c r="A136" s="92"/>
    </row>
    <row r="137" spans="1:44" ht="18" x14ac:dyDescent="0.35">
      <c r="A137" s="201"/>
    </row>
    <row r="138" spans="1:44" x14ac:dyDescent="0.3">
      <c r="A138" s="2"/>
    </row>
    <row r="139" spans="1:44" x14ac:dyDescent="0.3">
      <c r="A139" s="325"/>
    </row>
    <row r="140" spans="1:44" s="106" customFormat="1" x14ac:dyDescent="0.3">
      <c r="A140" s="104"/>
      <c r="B140" s="105"/>
      <c r="C140" s="105"/>
      <c r="D140" s="105"/>
      <c r="E140" s="105"/>
      <c r="F140" s="105"/>
      <c r="G140" s="105"/>
      <c r="H140" s="105"/>
      <c r="I140" s="105"/>
      <c r="J140" s="105"/>
      <c r="K140" s="105"/>
      <c r="L140" s="105"/>
      <c r="M140" s="105"/>
      <c r="N140" s="105"/>
      <c r="O140" s="105"/>
      <c r="P140" s="105"/>
      <c r="Q140" s="105"/>
      <c r="R140" s="105"/>
      <c r="S140" s="105"/>
      <c r="AB140" s="465"/>
      <c r="AC140" s="465"/>
      <c r="AD140" s="465"/>
      <c r="AE140" s="465"/>
      <c r="AF140" s="465"/>
      <c r="AG140" s="465"/>
      <c r="AH140" s="465"/>
      <c r="AI140" s="465"/>
      <c r="AJ140" s="465"/>
      <c r="AK140" s="465"/>
      <c r="AL140" s="465"/>
      <c r="AM140" s="465"/>
      <c r="AN140" s="465"/>
      <c r="AO140" s="465"/>
      <c r="AP140" s="465"/>
      <c r="AQ140" s="465"/>
      <c r="AR140" s="465"/>
    </row>
    <row r="141" spans="1:44" x14ac:dyDescent="0.3">
      <c r="A141" s="31"/>
    </row>
    <row r="142" spans="1:44" x14ac:dyDescent="0.3">
      <c r="B142" s="62"/>
      <c r="C142" s="62"/>
      <c r="D142" s="62"/>
      <c r="E142" s="62"/>
      <c r="F142" s="62"/>
      <c r="G142" s="62"/>
      <c r="H142" s="62"/>
      <c r="I142" s="62"/>
      <c r="J142" s="62"/>
      <c r="K142" s="62"/>
      <c r="L142" s="62"/>
      <c r="M142" s="62"/>
      <c r="N142" s="62"/>
      <c r="O142" s="62"/>
      <c r="P142" s="62"/>
      <c r="Q142" s="62"/>
      <c r="R142" s="62"/>
      <c r="S142" s="62"/>
    </row>
    <row r="143" spans="1:44" ht="13.2" customHeight="1" x14ac:dyDescent="0.3">
      <c r="AB143" s="106"/>
      <c r="AC143" s="106"/>
      <c r="AD143" s="106"/>
      <c r="AE143" s="106"/>
      <c r="AF143" s="106"/>
      <c r="AG143" s="106"/>
      <c r="AH143" s="106"/>
      <c r="AI143" s="106"/>
      <c r="AJ143" s="106"/>
      <c r="AK143" s="106"/>
      <c r="AL143" s="106"/>
      <c r="AM143" s="106"/>
      <c r="AN143" s="106"/>
      <c r="AO143" s="106"/>
      <c r="AP143" s="106"/>
      <c r="AQ143" s="106"/>
      <c r="AR143" s="106"/>
    </row>
    <row r="144" spans="1:44" ht="21" x14ac:dyDescent="0.4">
      <c r="A144" s="563"/>
    </row>
    <row r="145" spans="1:5" ht="18.600000000000001" thickBot="1" x14ac:dyDescent="0.4">
      <c r="A145" s="201"/>
    </row>
    <row r="146" spans="1:5" ht="18" x14ac:dyDescent="0.35">
      <c r="A146" s="352"/>
      <c r="B146" s="357"/>
      <c r="C146" s="358"/>
      <c r="D146" s="581"/>
    </row>
    <row r="147" spans="1:5" x14ac:dyDescent="0.3">
      <c r="A147" s="292"/>
      <c r="B147" s="44"/>
      <c r="C147" s="44"/>
      <c r="D147" s="582"/>
      <c r="E147" s="92"/>
    </row>
    <row r="148" spans="1:5" x14ac:dyDescent="0.3">
      <c r="A148" s="292"/>
      <c r="B148" s="44"/>
      <c r="C148" s="44"/>
      <c r="D148" s="582"/>
      <c r="E148" s="92"/>
    </row>
    <row r="149" spans="1:5" x14ac:dyDescent="0.3">
      <c r="A149" s="292"/>
      <c r="B149" s="44"/>
      <c r="C149" s="44"/>
      <c r="D149" s="582"/>
      <c r="E149" s="325"/>
    </row>
    <row r="150" spans="1:5" x14ac:dyDescent="0.3">
      <c r="A150" s="292"/>
      <c r="B150" s="44"/>
      <c r="C150" s="44"/>
      <c r="D150" s="582"/>
    </row>
    <row r="151" spans="1:5" x14ac:dyDescent="0.3">
      <c r="A151" s="292"/>
      <c r="B151" s="44"/>
      <c r="C151" s="44"/>
      <c r="D151" s="582"/>
      <c r="E151" s="92"/>
    </row>
    <row r="152" spans="1:5" x14ac:dyDescent="0.3">
      <c r="A152" s="292"/>
      <c r="B152" s="44"/>
      <c r="C152" s="44"/>
      <c r="D152" s="582"/>
      <c r="E152" s="92"/>
    </row>
    <row r="153" spans="1:5" ht="15" thickBot="1" x14ac:dyDescent="0.35">
      <c r="A153" s="359"/>
      <c r="B153" s="360"/>
      <c r="C153" s="360"/>
      <c r="D153" s="583"/>
      <c r="E153" s="92"/>
    </row>
    <row r="155" spans="1:5" ht="15" thickBot="1" x14ac:dyDescent="0.35">
      <c r="A155" s="6"/>
    </row>
    <row r="156" spans="1:5" ht="18.600000000000001" thickBot="1" x14ac:dyDescent="0.4">
      <c r="A156" s="355"/>
      <c r="B156" s="356"/>
    </row>
    <row r="157" spans="1:5" x14ac:dyDescent="0.3">
      <c r="A157" s="292"/>
      <c r="B157" s="349"/>
      <c r="E157" s="92"/>
    </row>
    <row r="158" spans="1:5" x14ac:dyDescent="0.3">
      <c r="A158" s="292"/>
      <c r="B158" s="349"/>
      <c r="E158" s="92"/>
    </row>
    <row r="159" spans="1:5" x14ac:dyDescent="0.3">
      <c r="A159" s="292"/>
      <c r="B159" s="349"/>
      <c r="D159" s="92"/>
    </row>
    <row r="160" spans="1:5" x14ac:dyDescent="0.3">
      <c r="A160" s="292"/>
      <c r="B160" s="349"/>
    </row>
    <row r="161" spans="1:5" x14ac:dyDescent="0.3">
      <c r="A161" s="292"/>
      <c r="B161" s="349"/>
    </row>
    <row r="162" spans="1:5" x14ac:dyDescent="0.3">
      <c r="A162" s="292"/>
      <c r="B162" s="349"/>
    </row>
    <row r="163" spans="1:5" ht="15" thickBot="1" x14ac:dyDescent="0.35">
      <c r="A163" s="288"/>
      <c r="B163" s="350"/>
    </row>
    <row r="164" spans="1:5" ht="15" thickBot="1" x14ac:dyDescent="0.35">
      <c r="A164" s="538"/>
      <c r="B164" s="503"/>
    </row>
    <row r="165" spans="1:5" x14ac:dyDescent="0.3">
      <c r="A165" s="44"/>
      <c r="B165" s="44"/>
      <c r="D165" s="92"/>
    </row>
    <row r="166" spans="1:5" ht="15" thickBot="1" x14ac:dyDescent="0.35">
      <c r="A166" s="44"/>
      <c r="B166" s="44"/>
    </row>
    <row r="167" spans="1:5" ht="18" x14ac:dyDescent="0.35">
      <c r="A167" s="361"/>
      <c r="B167" s="362"/>
    </row>
    <row r="168" spans="1:5" x14ac:dyDescent="0.3">
      <c r="A168" s="363"/>
      <c r="B168" s="585"/>
    </row>
    <row r="169" spans="1:5" ht="15" thickBot="1" x14ac:dyDescent="0.35">
      <c r="A169" s="365"/>
      <c r="B169" s="584"/>
      <c r="D169" s="62"/>
    </row>
    <row r="170" spans="1:5" ht="15" thickBot="1" x14ac:dyDescent="0.35"/>
    <row r="171" spans="1:5" ht="18" x14ac:dyDescent="0.35">
      <c r="A171" s="361"/>
      <c r="B171" s="367"/>
      <c r="C171" s="362"/>
      <c r="E171" s="353"/>
    </row>
    <row r="172" spans="1:5" x14ac:dyDescent="0.3">
      <c r="A172" s="363"/>
      <c r="B172" s="354"/>
      <c r="C172" s="364"/>
      <c r="D172" s="62"/>
    </row>
    <row r="173" spans="1:5" ht="15" thickBot="1" x14ac:dyDescent="0.35">
      <c r="A173" s="365"/>
      <c r="B173" s="368"/>
      <c r="C173" s="366"/>
      <c r="D173" s="62"/>
    </row>
    <row r="174" spans="1:5" ht="15" thickBot="1" x14ac:dyDescent="0.35"/>
    <row r="175" spans="1:5" ht="18" x14ac:dyDescent="0.35">
      <c r="A175" s="361"/>
      <c r="B175" s="367"/>
      <c r="C175" s="362"/>
      <c r="D175" s="635"/>
    </row>
    <row r="176" spans="1:5" x14ac:dyDescent="0.3">
      <c r="A176" s="363"/>
      <c r="B176" s="374"/>
      <c r="C176" s="364"/>
    </row>
    <row r="177" spans="1:27" ht="15" thickBot="1" x14ac:dyDescent="0.35">
      <c r="A177" s="365"/>
      <c r="B177" s="375"/>
      <c r="C177" s="366"/>
      <c r="D177" s="62"/>
    </row>
    <row r="180" spans="1:27" x14ac:dyDescent="0.3">
      <c r="A180" s="2"/>
    </row>
    <row r="181" spans="1:27" x14ac:dyDescent="0.3">
      <c r="A181" s="325"/>
    </row>
    <row r="182" spans="1:27" x14ac:dyDescent="0.3">
      <c r="A182" s="325"/>
    </row>
    <row r="185" spans="1:27" ht="21" x14ac:dyDescent="0.4">
      <c r="A185" s="563"/>
    </row>
    <row r="186" spans="1:27" ht="15" thickBot="1" x14ac:dyDescent="0.35">
      <c r="A186" s="6"/>
    </row>
    <row r="187" spans="1:27" ht="15" thickBot="1" x14ac:dyDescent="0.35">
      <c r="A187" s="504"/>
      <c r="B187" s="504"/>
      <c r="C187" s="543"/>
    </row>
    <row r="188" spans="1:27" x14ac:dyDescent="0.3">
      <c r="A188" s="292"/>
      <c r="B188" s="513"/>
      <c r="C188" s="544"/>
    </row>
    <row r="189" spans="1:27" x14ac:dyDescent="0.3">
      <c r="A189" s="292"/>
      <c r="B189" s="513"/>
      <c r="C189" s="544"/>
      <c r="E189" s="546"/>
    </row>
    <row r="190" spans="1:27" ht="15" thickBot="1" x14ac:dyDescent="0.35">
      <c r="A190" s="292"/>
      <c r="B190" s="513"/>
      <c r="C190" s="545"/>
      <c r="E190" s="6"/>
      <c r="F190" s="6"/>
      <c r="G190" s="501"/>
    </row>
    <row r="191" spans="1:27" ht="15" thickBot="1" x14ac:dyDescent="0.35">
      <c r="A191" s="288"/>
      <c r="B191" s="514"/>
      <c r="C191" s="647"/>
      <c r="E191" s="511"/>
      <c r="F191" s="512"/>
      <c r="G191" s="512"/>
      <c r="H191" s="512"/>
      <c r="I191" s="512"/>
      <c r="J191" s="512"/>
      <c r="K191" s="512"/>
      <c r="L191" s="512"/>
      <c r="M191" s="512"/>
      <c r="N191" s="512"/>
      <c r="O191" s="512"/>
      <c r="P191" s="512"/>
      <c r="Q191" s="512"/>
      <c r="R191" s="512"/>
      <c r="S191" s="512"/>
      <c r="T191" s="512"/>
      <c r="U191" s="512"/>
      <c r="V191" s="512"/>
      <c r="W191" s="512"/>
      <c r="X191" s="512"/>
      <c r="Y191" s="512"/>
      <c r="Z191" s="512"/>
      <c r="AA191" s="502"/>
    </row>
    <row r="192" spans="1:27" ht="15" thickBot="1" x14ac:dyDescent="0.35">
      <c r="E192" s="288"/>
      <c r="F192" s="381"/>
      <c r="G192" s="381"/>
      <c r="H192" s="381"/>
      <c r="I192" s="381"/>
      <c r="J192" s="381"/>
      <c r="K192" s="381"/>
      <c r="L192" s="381"/>
      <c r="M192" s="381"/>
      <c r="N192" s="381"/>
      <c r="O192" s="381"/>
      <c r="P192" s="381"/>
      <c r="Q192" s="381"/>
      <c r="R192" s="381"/>
      <c r="S192" s="381"/>
      <c r="T192" s="381"/>
      <c r="U192" s="381"/>
      <c r="V192" s="381"/>
      <c r="W192" s="381"/>
      <c r="X192" s="381"/>
      <c r="Y192" s="381"/>
      <c r="Z192" s="381"/>
      <c r="AA192" s="542"/>
    </row>
    <row r="194" spans="5:28" x14ac:dyDescent="0.3">
      <c r="E194" s="546"/>
    </row>
    <row r="195" spans="5:28" ht="15" thickBot="1" x14ac:dyDescent="0.35">
      <c r="E195" s="6"/>
      <c r="F195" s="6"/>
      <c r="G195" s="501"/>
      <c r="H195" s="6"/>
      <c r="J195" s="92"/>
    </row>
    <row r="196" spans="5:28" ht="15" thickBot="1" x14ac:dyDescent="0.35">
      <c r="E196" s="504"/>
      <c r="F196" s="504"/>
      <c r="G196" s="509"/>
      <c r="H196" s="509"/>
      <c r="I196" s="509"/>
      <c r="J196" s="509"/>
      <c r="K196" s="509"/>
      <c r="L196" s="509"/>
      <c r="M196" s="509"/>
      <c r="N196" s="509"/>
      <c r="O196" s="509"/>
      <c r="P196" s="509"/>
      <c r="Q196" s="509"/>
      <c r="R196" s="509"/>
      <c r="S196" s="509"/>
      <c r="T196" s="509"/>
      <c r="U196" s="509"/>
      <c r="V196" s="509"/>
      <c r="W196" s="509"/>
      <c r="X196" s="509"/>
      <c r="Y196" s="509"/>
      <c r="Z196" s="510"/>
      <c r="AA196" s="637"/>
    </row>
    <row r="197" spans="5:28" x14ac:dyDescent="0.3">
      <c r="E197" s="454"/>
      <c r="F197" s="292"/>
      <c r="G197" s="44"/>
      <c r="H197" s="44"/>
      <c r="I197" s="44"/>
      <c r="J197" s="44"/>
      <c r="K197" s="44"/>
      <c r="L197" s="44"/>
      <c r="M197" s="44"/>
      <c r="N197" s="44"/>
      <c r="O197" s="44"/>
      <c r="P197" s="44"/>
      <c r="Q197" s="44"/>
      <c r="R197" s="44"/>
      <c r="S197" s="44"/>
      <c r="T197" s="44"/>
      <c r="U197" s="44"/>
      <c r="V197" s="44"/>
      <c r="W197" s="44"/>
      <c r="X197" s="44"/>
      <c r="Y197" s="44"/>
      <c r="Z197" s="636"/>
      <c r="AA197" s="497"/>
    </row>
    <row r="198" spans="5:28" ht="15" thickBot="1" x14ac:dyDescent="0.35">
      <c r="E198" s="523"/>
      <c r="F198" s="288"/>
      <c r="G198" s="381"/>
      <c r="H198" s="381"/>
      <c r="I198" s="381"/>
      <c r="J198" s="381"/>
      <c r="K198" s="381"/>
      <c r="L198" s="381"/>
      <c r="M198" s="381"/>
      <c r="N198" s="381"/>
      <c r="O198" s="381"/>
      <c r="P198" s="381"/>
      <c r="Q198" s="381"/>
      <c r="R198" s="381"/>
      <c r="S198" s="381"/>
      <c r="T198" s="381"/>
      <c r="U198" s="381"/>
      <c r="V198" s="381"/>
      <c r="W198" s="381"/>
      <c r="X198" s="381"/>
      <c r="Y198" s="381"/>
      <c r="Z198" s="350"/>
      <c r="AA198" s="2"/>
    </row>
    <row r="200" spans="5:28" ht="15" thickBot="1" x14ac:dyDescent="0.35">
      <c r="E200" s="6"/>
    </row>
    <row r="201" spans="5:28" x14ac:dyDescent="0.3">
      <c r="E201" s="524"/>
      <c r="F201" s="534"/>
      <c r="G201" s="505"/>
      <c r="H201" s="505"/>
      <c r="I201" s="505"/>
      <c r="J201" s="505"/>
      <c r="K201" s="505"/>
      <c r="L201" s="505"/>
      <c r="M201" s="505"/>
      <c r="N201" s="505"/>
      <c r="O201" s="505"/>
      <c r="P201" s="505"/>
      <c r="Q201" s="505"/>
      <c r="R201" s="505"/>
      <c r="S201" s="505"/>
      <c r="T201" s="505"/>
      <c r="U201" s="505"/>
      <c r="V201" s="505"/>
      <c r="W201" s="505"/>
      <c r="X201" s="505"/>
      <c r="Y201" s="502"/>
      <c r="Z201" s="505"/>
      <c r="AB201" s="92"/>
    </row>
    <row r="202" spans="5:28" x14ac:dyDescent="0.3">
      <c r="E202" s="292"/>
      <c r="F202" s="70"/>
      <c r="G202" s="44"/>
      <c r="H202" s="506"/>
      <c r="I202" s="506"/>
      <c r="J202" s="506"/>
      <c r="K202" s="506"/>
      <c r="L202" s="506"/>
      <c r="M202" s="506"/>
      <c r="N202" s="506"/>
      <c r="O202" s="506"/>
      <c r="P202" s="506"/>
      <c r="Q202" s="506"/>
      <c r="R202" s="506"/>
      <c r="S202" s="506"/>
      <c r="T202" s="506"/>
      <c r="U202" s="506"/>
      <c r="V202" s="506"/>
      <c r="W202" s="506"/>
      <c r="X202" s="506"/>
      <c r="Y202" s="525"/>
      <c r="Z202" s="506"/>
    </row>
    <row r="203" spans="5:28" x14ac:dyDescent="0.3">
      <c r="E203" s="351"/>
      <c r="F203" s="535"/>
      <c r="G203" s="526"/>
      <c r="H203" s="526"/>
      <c r="I203" s="526"/>
      <c r="J203" s="526"/>
      <c r="K203" s="526"/>
      <c r="L203" s="526"/>
      <c r="M203" s="526"/>
      <c r="N203" s="526"/>
      <c r="O203" s="526"/>
      <c r="P203" s="526"/>
      <c r="Q203" s="526"/>
      <c r="R203" s="526"/>
      <c r="S203" s="526"/>
      <c r="T203" s="526"/>
      <c r="U203" s="526"/>
      <c r="V203" s="526"/>
      <c r="W203" s="526"/>
      <c r="X203" s="526"/>
      <c r="Y203" s="527"/>
      <c r="Z203" s="526"/>
    </row>
    <row r="204" spans="5:28" x14ac:dyDescent="0.3">
      <c r="E204" s="528"/>
      <c r="F204" s="536"/>
      <c r="G204" s="529"/>
      <c r="H204" s="529"/>
      <c r="I204" s="529"/>
      <c r="J204" s="529"/>
      <c r="K204" s="529"/>
      <c r="L204" s="529"/>
      <c r="M204" s="529"/>
      <c r="N204" s="529"/>
      <c r="O204" s="529"/>
      <c r="P204" s="529"/>
      <c r="Q204" s="529"/>
      <c r="R204" s="529"/>
      <c r="S204" s="529"/>
      <c r="T204" s="529"/>
      <c r="U204" s="529"/>
      <c r="V204" s="529"/>
      <c r="W204" s="529"/>
      <c r="X204" s="529"/>
      <c r="Y204" s="530"/>
      <c r="Z204" s="529"/>
    </row>
    <row r="205" spans="5:28" ht="15" thickBot="1" x14ac:dyDescent="0.35">
      <c r="E205" s="531"/>
      <c r="F205" s="537"/>
      <c r="G205" s="532"/>
      <c r="H205" s="532"/>
      <c r="I205" s="532"/>
      <c r="J205" s="532"/>
      <c r="K205" s="532"/>
      <c r="L205" s="532"/>
      <c r="M205" s="532"/>
      <c r="N205" s="532"/>
      <c r="O205" s="532"/>
      <c r="P205" s="532"/>
      <c r="Q205" s="532"/>
      <c r="R205" s="532"/>
      <c r="S205" s="532"/>
      <c r="T205" s="532"/>
      <c r="U205" s="532"/>
      <c r="V205" s="532"/>
      <c r="W205" s="532"/>
      <c r="X205" s="532"/>
      <c r="Y205" s="533"/>
      <c r="Z205" s="532"/>
    </row>
    <row r="206" spans="5:28" ht="15" thickBot="1" x14ac:dyDescent="0.35">
      <c r="Z206" s="62"/>
    </row>
    <row r="207" spans="5:28" ht="15" thickBot="1" x14ac:dyDescent="0.35">
      <c r="E207" s="538"/>
      <c r="F207" s="540"/>
      <c r="G207" s="540"/>
      <c r="H207" s="540"/>
      <c r="I207" s="540"/>
      <c r="J207" s="540"/>
      <c r="K207" s="540"/>
      <c r="L207" s="540"/>
      <c r="M207" s="540"/>
      <c r="N207" s="540"/>
      <c r="O207" s="540"/>
      <c r="P207" s="540"/>
      <c r="Q207" s="540"/>
      <c r="R207" s="540"/>
      <c r="S207" s="540"/>
      <c r="T207" s="540"/>
      <c r="U207" s="540"/>
      <c r="V207" s="540"/>
      <c r="W207" s="540"/>
      <c r="X207" s="540"/>
      <c r="Y207" s="540"/>
      <c r="Z207" s="540"/>
    </row>
    <row r="208" spans="5:28" ht="15" thickBot="1" x14ac:dyDescent="0.35">
      <c r="Z208" s="62"/>
    </row>
    <row r="209" spans="1:44" x14ac:dyDescent="0.3">
      <c r="E209" s="511"/>
      <c r="F209" s="512"/>
      <c r="G209" s="519"/>
      <c r="H209" s="517"/>
      <c r="I209" s="518"/>
      <c r="Z209" s="62"/>
    </row>
    <row r="210" spans="1:44" ht="15" thickBot="1" x14ac:dyDescent="0.35">
      <c r="E210" s="507"/>
      <c r="F210" s="381"/>
      <c r="G210" s="520"/>
      <c r="H210" s="381"/>
      <c r="I210" s="515"/>
      <c r="Z210" s="62"/>
    </row>
    <row r="211" spans="1:44" x14ac:dyDescent="0.3">
      <c r="Z211" s="62"/>
    </row>
    <row r="212" spans="1:44" x14ac:dyDescent="0.3">
      <c r="Z212" s="62"/>
    </row>
    <row r="213" spans="1:44" x14ac:dyDescent="0.3">
      <c r="E213" s="6"/>
    </row>
    <row r="215" spans="1:44" ht="21" x14ac:dyDescent="0.4">
      <c r="A215" s="563"/>
    </row>
    <row r="216" spans="1:44" ht="15" thickBot="1" x14ac:dyDescent="0.35">
      <c r="B216" s="92"/>
    </row>
    <row r="217" spans="1:44" ht="15" thickBot="1" x14ac:dyDescent="0.35">
      <c r="A217" s="547"/>
      <c r="B217" s="564"/>
      <c r="E217" s="504"/>
      <c r="F217" s="509"/>
      <c r="G217" s="510"/>
      <c r="H217" s="504"/>
      <c r="I217" s="509"/>
      <c r="J217" s="510"/>
      <c r="K217" s="504"/>
      <c r="L217" s="509"/>
      <c r="M217" s="510"/>
      <c r="N217" s="504"/>
      <c r="O217" s="509"/>
      <c r="P217" s="510"/>
      <c r="Q217" s="504"/>
      <c r="R217" s="509"/>
      <c r="S217" s="510"/>
      <c r="T217" s="504"/>
      <c r="U217" s="509"/>
      <c r="V217" s="510"/>
      <c r="W217" s="504"/>
      <c r="X217" s="504"/>
      <c r="Y217" s="510"/>
      <c r="Z217" s="504"/>
      <c r="AA217" s="510"/>
    </row>
    <row r="218" spans="1:44" ht="15" thickBot="1" x14ac:dyDescent="0.35">
      <c r="E218" s="288"/>
      <c r="F218" s="381"/>
      <c r="G218" s="381"/>
      <c r="H218" s="381"/>
      <c r="I218" s="381"/>
      <c r="J218" s="381"/>
      <c r="K218" s="381"/>
      <c r="L218" s="381"/>
      <c r="M218" s="381"/>
      <c r="N218" s="381"/>
      <c r="O218" s="381"/>
      <c r="P218" s="381"/>
      <c r="Q218" s="381"/>
      <c r="R218" s="381"/>
      <c r="S218" s="381"/>
      <c r="T218" s="381"/>
      <c r="U218" s="381"/>
      <c r="V218" s="381"/>
      <c r="W218" s="381"/>
      <c r="X218" s="381"/>
      <c r="Y218" s="350"/>
      <c r="Z218" s="381"/>
      <c r="AA218" s="350"/>
    </row>
    <row r="219" spans="1:44" ht="15" thickBot="1" x14ac:dyDescent="0.35">
      <c r="A219" s="92"/>
    </row>
    <row r="220" spans="1:44" s="6" customFormat="1" ht="15" thickBot="1" x14ac:dyDescent="0.35">
      <c r="E220" s="550"/>
      <c r="F220" s="516"/>
      <c r="G220" s="516"/>
      <c r="H220" s="516"/>
      <c r="I220" s="516"/>
      <c r="J220" s="516"/>
      <c r="K220" s="516"/>
      <c r="L220" s="516"/>
      <c r="M220" s="516"/>
      <c r="N220" s="516"/>
      <c r="O220" s="516"/>
      <c r="P220" s="518"/>
      <c r="AB220" s="504"/>
      <c r="AC220" s="465"/>
      <c r="AD220" s="465"/>
      <c r="AE220" s="465"/>
      <c r="AF220" s="465"/>
      <c r="AG220" s="465"/>
      <c r="AH220" s="465"/>
      <c r="AI220" s="465"/>
      <c r="AJ220" s="465"/>
      <c r="AK220" s="465"/>
      <c r="AL220" s="465"/>
      <c r="AM220" s="465"/>
      <c r="AN220" s="465"/>
      <c r="AO220" s="465"/>
      <c r="AP220" s="465"/>
      <c r="AQ220" s="465"/>
      <c r="AR220" s="465"/>
    </row>
    <row r="221" spans="1:44" ht="15" thickBot="1" x14ac:dyDescent="0.35">
      <c r="E221" s="292"/>
      <c r="F221" s="44"/>
      <c r="G221" s="44"/>
      <c r="H221" s="44"/>
      <c r="I221" s="44"/>
      <c r="J221" s="44"/>
      <c r="K221" s="44"/>
      <c r="L221" s="44"/>
      <c r="M221" s="44"/>
      <c r="N221" s="44"/>
      <c r="O221" s="44"/>
      <c r="P221" s="349"/>
      <c r="AB221" s="381"/>
    </row>
    <row r="222" spans="1:44" ht="15" thickBot="1" x14ac:dyDescent="0.35">
      <c r="E222" s="531"/>
      <c r="F222" s="381"/>
      <c r="G222" s="548"/>
      <c r="H222" s="548"/>
      <c r="I222" s="381"/>
      <c r="J222" s="548"/>
      <c r="K222" s="548"/>
      <c r="L222" s="381"/>
      <c r="M222" s="548"/>
      <c r="N222" s="548"/>
      <c r="O222" s="381"/>
      <c r="P222" s="549"/>
    </row>
    <row r="223" spans="1:44" ht="15" thickBot="1" x14ac:dyDescent="0.35">
      <c r="E223" s="541"/>
      <c r="F223" s="539"/>
      <c r="G223" s="539"/>
      <c r="H223" s="539"/>
      <c r="I223" s="539"/>
      <c r="J223" s="539"/>
      <c r="K223" s="539"/>
      <c r="L223" s="539"/>
      <c r="M223" s="539"/>
      <c r="N223" s="539"/>
      <c r="O223" s="539"/>
      <c r="P223" s="503"/>
      <c r="AB223" s="6"/>
      <c r="AC223" s="6"/>
      <c r="AD223" s="6"/>
      <c r="AE223" s="6"/>
      <c r="AF223" s="6"/>
      <c r="AG223" s="6"/>
      <c r="AH223" s="6"/>
      <c r="AI223" s="6"/>
      <c r="AJ223" s="6"/>
      <c r="AK223" s="6"/>
      <c r="AL223" s="6"/>
      <c r="AM223" s="6"/>
      <c r="AN223" s="6"/>
      <c r="AO223" s="6"/>
      <c r="AP223" s="6"/>
      <c r="AQ223" s="6"/>
      <c r="AR223" s="6"/>
    </row>
    <row r="226" spans="1:25" ht="15" thickBot="1" x14ac:dyDescent="0.35"/>
    <row r="227" spans="1:25" x14ac:dyDescent="0.3">
      <c r="A227" s="6"/>
      <c r="E227" s="552"/>
      <c r="F227" s="379"/>
      <c r="G227" s="379"/>
      <c r="H227" s="379"/>
      <c r="I227" s="379"/>
      <c r="J227" s="379"/>
      <c r="K227" s="379"/>
      <c r="L227" s="379"/>
      <c r="M227" s="379"/>
      <c r="N227" s="379"/>
      <c r="O227" s="379"/>
      <c r="P227" s="379"/>
      <c r="Q227" s="379"/>
      <c r="R227" s="379"/>
      <c r="S227" s="379"/>
      <c r="T227" s="379"/>
      <c r="U227" s="379"/>
      <c r="V227" s="379"/>
      <c r="W227" s="379"/>
      <c r="X227" s="379"/>
      <c r="Y227" s="638"/>
    </row>
    <row r="228" spans="1:25" x14ac:dyDescent="0.3">
      <c r="E228" s="551"/>
      <c r="F228" s="61"/>
      <c r="G228" s="61"/>
      <c r="H228" s="61"/>
      <c r="I228" s="551"/>
      <c r="J228" s="61"/>
      <c r="K228" s="61"/>
      <c r="L228" s="61"/>
      <c r="M228" s="551"/>
      <c r="N228" s="61"/>
      <c r="O228" s="61"/>
      <c r="P228" s="61"/>
      <c r="Q228" s="551"/>
      <c r="R228" s="61"/>
      <c r="S228" s="61"/>
      <c r="T228" s="61"/>
      <c r="U228" s="551"/>
      <c r="V228" s="61"/>
      <c r="W228" s="61"/>
      <c r="X228" s="61"/>
      <c r="Y228" s="639"/>
    </row>
    <row r="229" spans="1:25" x14ac:dyDescent="0.3">
      <c r="E229" s="556"/>
      <c r="F229" s="557"/>
      <c r="G229" s="557"/>
      <c r="H229" s="557"/>
      <c r="I229" s="557"/>
      <c r="J229" s="557"/>
      <c r="K229" s="557"/>
      <c r="L229" s="557"/>
      <c r="M229" s="557"/>
      <c r="N229" s="557"/>
      <c r="O229" s="557"/>
      <c r="P229" s="557"/>
      <c r="Q229" s="557"/>
      <c r="R229" s="557"/>
      <c r="S229" s="557"/>
      <c r="T229" s="557"/>
      <c r="U229" s="557"/>
      <c r="V229" s="557"/>
      <c r="W229" s="557"/>
      <c r="X229" s="557"/>
      <c r="Y229" s="640"/>
    </row>
    <row r="230" spans="1:25" x14ac:dyDescent="0.3">
      <c r="E230" s="551"/>
      <c r="F230" s="61"/>
      <c r="G230" s="61"/>
      <c r="H230" s="61"/>
      <c r="I230" s="61"/>
      <c r="J230" s="61"/>
      <c r="K230" s="61"/>
      <c r="L230" s="61"/>
      <c r="M230" s="61"/>
      <c r="N230" s="61"/>
      <c r="O230" s="61"/>
      <c r="P230" s="61"/>
      <c r="Q230" s="61"/>
      <c r="R230" s="61"/>
      <c r="S230" s="61"/>
      <c r="T230" s="61"/>
      <c r="U230" s="61"/>
      <c r="V230" s="61"/>
      <c r="W230" s="61"/>
      <c r="X230" s="61"/>
      <c r="Y230" s="639"/>
    </row>
    <row r="231" spans="1:25" x14ac:dyDescent="0.3">
      <c r="E231" s="554"/>
      <c r="F231" s="17"/>
      <c r="G231" s="17"/>
      <c r="H231" s="17"/>
      <c r="I231" s="17"/>
      <c r="J231" s="17"/>
      <c r="K231" s="17"/>
      <c r="L231" s="17"/>
      <c r="M231" s="17"/>
      <c r="N231" s="17"/>
      <c r="O231" s="17"/>
      <c r="P231" s="17"/>
      <c r="Q231" s="17"/>
      <c r="R231" s="17"/>
      <c r="S231" s="17"/>
      <c r="T231" s="17"/>
      <c r="U231" s="17"/>
      <c r="V231" s="17"/>
      <c r="W231" s="17"/>
      <c r="X231" s="17"/>
      <c r="Y231" s="641"/>
    </row>
    <row r="232" spans="1:25" ht="15" thickBot="1" x14ac:dyDescent="0.35">
      <c r="E232" s="558"/>
      <c r="F232" s="559"/>
      <c r="G232" s="559"/>
      <c r="H232" s="559"/>
      <c r="I232" s="559"/>
      <c r="J232" s="559"/>
      <c r="K232" s="559"/>
      <c r="L232" s="559"/>
      <c r="M232" s="559"/>
      <c r="N232" s="559"/>
      <c r="O232" s="559"/>
      <c r="P232" s="559"/>
      <c r="Q232" s="559"/>
      <c r="R232" s="559"/>
      <c r="S232" s="559"/>
      <c r="T232" s="559"/>
      <c r="U232" s="559"/>
      <c r="V232" s="559"/>
      <c r="W232" s="559"/>
      <c r="X232" s="559"/>
      <c r="Y232" s="642"/>
    </row>
    <row r="234" spans="1:25" ht="15" thickBot="1" x14ac:dyDescent="0.35"/>
    <row r="235" spans="1:25" x14ac:dyDescent="0.3">
      <c r="E235" s="552"/>
      <c r="F235" s="379"/>
      <c r="G235" s="379"/>
      <c r="H235" s="379"/>
      <c r="I235" s="379"/>
      <c r="J235" s="379"/>
      <c r="K235" s="379"/>
      <c r="L235" s="379"/>
      <c r="M235" s="379"/>
      <c r="N235" s="379"/>
      <c r="O235" s="379"/>
      <c r="P235" s="379"/>
      <c r="Q235" s="379"/>
      <c r="R235" s="379"/>
      <c r="S235" s="379"/>
      <c r="T235" s="379"/>
      <c r="U235" s="379"/>
      <c r="V235" s="379"/>
      <c r="W235" s="379"/>
      <c r="X235" s="553"/>
      <c r="Y235" s="638"/>
    </row>
    <row r="236" spans="1:25" x14ac:dyDescent="0.3">
      <c r="E236" s="292"/>
      <c r="F236" s="44"/>
      <c r="G236" s="44"/>
      <c r="H236" s="44"/>
      <c r="I236" s="44"/>
      <c r="J236" s="44"/>
      <c r="K236" s="44"/>
      <c r="L236" s="44"/>
      <c r="M236" s="44"/>
      <c r="N236" s="44"/>
      <c r="O236" s="44"/>
      <c r="P236" s="44"/>
      <c r="Q236" s="44"/>
      <c r="R236" s="44"/>
      <c r="S236" s="44"/>
      <c r="T236" s="44"/>
      <c r="U236" s="44"/>
      <c r="V236" s="44"/>
      <c r="W236" s="44"/>
      <c r="X236" s="349"/>
      <c r="Y236" s="544"/>
    </row>
    <row r="237" spans="1:25" ht="15" thickBot="1" x14ac:dyDescent="0.35">
      <c r="E237" s="507"/>
      <c r="F237" s="508"/>
      <c r="G237" s="508"/>
      <c r="H237" s="508"/>
      <c r="I237" s="508"/>
      <c r="J237" s="508"/>
      <c r="K237" s="508"/>
      <c r="L237" s="508"/>
      <c r="M237" s="508"/>
      <c r="N237" s="508"/>
      <c r="O237" s="508"/>
      <c r="P237" s="508"/>
      <c r="Q237" s="508"/>
      <c r="R237" s="508"/>
      <c r="S237" s="508"/>
      <c r="T237" s="508"/>
      <c r="U237" s="508"/>
      <c r="V237" s="508"/>
      <c r="W237" s="508"/>
      <c r="X237" s="555"/>
      <c r="Y237" s="643"/>
    </row>
    <row r="242" spans="1:44" ht="15" thickBot="1" x14ac:dyDescent="0.35"/>
    <row r="243" spans="1:44" ht="15" thickBot="1" x14ac:dyDescent="0.35">
      <c r="B243" s="22"/>
      <c r="U243" s="644"/>
      <c r="V243" s="645"/>
      <c r="W243" s="646"/>
    </row>
    <row r="255" spans="1:44" s="563" customFormat="1" ht="21" x14ac:dyDescent="0.4">
      <c r="AB255" s="465"/>
      <c r="AC255" s="465"/>
      <c r="AD255" s="465"/>
      <c r="AE255" s="465"/>
      <c r="AF255" s="465"/>
      <c r="AG255" s="465"/>
      <c r="AH255" s="465"/>
      <c r="AI255" s="465"/>
      <c r="AJ255" s="465"/>
      <c r="AK255" s="465"/>
      <c r="AL255" s="465"/>
      <c r="AM255" s="465"/>
      <c r="AN255" s="465"/>
      <c r="AO255" s="465"/>
      <c r="AP255" s="465"/>
      <c r="AQ255" s="465"/>
      <c r="AR255" s="465"/>
    </row>
    <row r="256" spans="1:44" ht="18" x14ac:dyDescent="0.35">
      <c r="A256" s="201"/>
    </row>
    <row r="257" spans="2:44" x14ac:dyDescent="0.3">
      <c r="B257" s="6"/>
      <c r="C257" s="6"/>
      <c r="D257" s="6"/>
      <c r="E257" s="6"/>
    </row>
    <row r="258" spans="2:44" ht="21" x14ac:dyDescent="0.4">
      <c r="B258" s="62"/>
      <c r="C258" s="62"/>
      <c r="D258" s="586"/>
      <c r="AB258" s="563"/>
      <c r="AC258" s="563"/>
      <c r="AD258" s="563"/>
      <c r="AE258" s="563"/>
      <c r="AF258" s="563"/>
      <c r="AG258" s="563"/>
      <c r="AH258" s="563"/>
      <c r="AI258" s="563"/>
      <c r="AJ258" s="563"/>
      <c r="AK258" s="563"/>
      <c r="AL258" s="563"/>
      <c r="AM258" s="563"/>
      <c r="AN258" s="563"/>
      <c r="AO258" s="563"/>
      <c r="AP258" s="563"/>
      <c r="AQ258" s="563"/>
      <c r="AR258" s="563"/>
    </row>
    <row r="259" spans="2:44" ht="15" thickBot="1" x14ac:dyDescent="0.35">
      <c r="B259" s="62"/>
      <c r="C259" s="62"/>
      <c r="D259" s="586"/>
    </row>
    <row r="260" spans="2:44" x14ac:dyDescent="0.3">
      <c r="B260" s="62"/>
      <c r="C260" s="62"/>
      <c r="D260" s="586"/>
      <c r="E260" s="619"/>
      <c r="F260" s="620"/>
      <c r="G260" s="620"/>
      <c r="H260" s="620"/>
      <c r="I260" s="620"/>
      <c r="J260" s="620"/>
      <c r="K260" s="620"/>
      <c r="L260" s="620"/>
      <c r="M260" s="620"/>
      <c r="N260" s="620"/>
      <c r="O260" s="620"/>
      <c r="P260" s="620"/>
      <c r="Q260" s="620"/>
      <c r="R260" s="620"/>
      <c r="S260" s="620"/>
      <c r="T260" s="620"/>
      <c r="U260" s="620"/>
      <c r="V260" s="620"/>
      <c r="W260" s="620"/>
      <c r="X260" s="621"/>
    </row>
    <row r="261" spans="2:44" x14ac:dyDescent="0.3">
      <c r="E261" s="292"/>
      <c r="F261" s="44"/>
      <c r="G261" s="44"/>
      <c r="H261" s="44"/>
      <c r="I261" s="44"/>
      <c r="J261" s="44"/>
      <c r="K261" s="44"/>
      <c r="L261" s="44"/>
      <c r="M261" s="44"/>
      <c r="N261" s="44"/>
      <c r="O261" s="44"/>
      <c r="P261" s="44"/>
      <c r="Q261" s="44"/>
      <c r="R261" s="44"/>
      <c r="S261" s="44"/>
      <c r="T261" s="44"/>
      <c r="U261" s="44"/>
      <c r="V261" s="44"/>
      <c r="W261" s="44"/>
      <c r="X261" s="349"/>
    </row>
    <row r="262" spans="2:44" ht="15" thickBot="1" x14ac:dyDescent="0.35">
      <c r="E262" s="288"/>
      <c r="F262" s="381"/>
      <c r="G262" s="381"/>
      <c r="H262" s="381"/>
      <c r="I262" s="381"/>
      <c r="J262" s="381"/>
      <c r="K262" s="381"/>
      <c r="L262" s="381"/>
      <c r="M262" s="381"/>
      <c r="N262" s="381"/>
      <c r="O262" s="381"/>
      <c r="P262" s="381"/>
      <c r="Q262" s="381"/>
      <c r="R262" s="381"/>
      <c r="S262" s="381"/>
      <c r="T262" s="381"/>
      <c r="U262" s="381"/>
      <c r="V262" s="381"/>
      <c r="W262" s="381"/>
      <c r="X262" s="350"/>
    </row>
    <row r="268" spans="2:44" x14ac:dyDescent="0.3">
      <c r="G268" s="565"/>
    </row>
    <row r="271" spans="2:44" x14ac:dyDescent="0.3">
      <c r="G271" s="565"/>
    </row>
  </sheetData>
  <mergeCells count="5">
    <mergeCell ref="A35:I35"/>
    <mergeCell ref="A126:G126"/>
    <mergeCell ref="A135:M135"/>
    <mergeCell ref="A2:J2"/>
    <mergeCell ref="A3:J3"/>
  </mergeCells>
  <hyperlinks>
    <hyperlink ref="A133" r:id="rId1" xr:uid="{6294B864-D2F8-48B7-B89F-5424C7B58B5D}"/>
    <hyperlink ref="A134" r:id="rId2" xr:uid="{0196792A-51F6-412E-B859-9A7E8B7D74EE}"/>
    <hyperlink ref="A5" r:id="rId3" xr:uid="{6B47F1C4-8D39-4F58-8295-AA4D8F366CA6}"/>
  </hyperlinks>
  <pageMargins left="0.7" right="0.7" top="0.75" bottom="0.75" header="0.3" footer="0.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60EB2-A4ED-4448-A222-4E9174BCA92F}">
  <dimension ref="A1:CA175"/>
  <sheetViews>
    <sheetView topLeftCell="A25" workbookViewId="0">
      <selection activeCell="J7" sqref="J7"/>
    </sheetView>
  </sheetViews>
  <sheetFormatPr defaultRowHeight="14.4" x14ac:dyDescent="0.3"/>
  <cols>
    <col min="1" max="1" width="1" style="899" customWidth="1"/>
    <col min="2" max="2" width="39.88671875" style="465" customWidth="1"/>
    <col min="3" max="3" width="13.77734375" style="465" customWidth="1"/>
    <col min="4" max="4" width="13.6640625" style="465" bestFit="1" customWidth="1"/>
    <col min="5" max="5" width="12.77734375" style="465" customWidth="1"/>
    <col min="6" max="6" width="14.88671875" style="465" customWidth="1"/>
    <col min="7" max="7" width="13.33203125" style="465" customWidth="1"/>
    <col min="8" max="8" width="16.5546875" style="465" customWidth="1"/>
    <col min="9" max="9" width="19.21875" style="465" customWidth="1"/>
    <col min="10" max="10" width="11.44140625" style="465" customWidth="1"/>
    <col min="11" max="21" width="13.77734375" style="465" bestFit="1" customWidth="1"/>
    <col min="22" max="22" width="11.6640625" style="465" customWidth="1"/>
    <col min="23" max="23" width="14.109375" style="465" customWidth="1"/>
    <col min="24" max="25" width="12.33203125" style="465" customWidth="1"/>
    <col min="26" max="26" width="11.6640625" style="465" bestFit="1" customWidth="1"/>
    <col min="27" max="27" width="8.88671875" style="465"/>
    <col min="28" max="28" width="27.6640625" style="465" customWidth="1"/>
    <col min="29" max="29" width="13.5546875" style="465" bestFit="1" customWidth="1"/>
    <col min="30" max="45" width="11.33203125" style="465" bestFit="1" customWidth="1"/>
    <col min="46" max="16384" width="8.88671875" style="465"/>
  </cols>
  <sheetData>
    <row r="1" spans="1:79" s="843" customFormat="1" ht="37.799999999999997" customHeight="1" x14ac:dyDescent="0.4">
      <c r="A1" s="899"/>
      <c r="B1" s="962" t="s">
        <v>986</v>
      </c>
      <c r="C1" s="42"/>
      <c r="D1" s="42"/>
      <c r="E1" s="42"/>
      <c r="F1" s="42"/>
      <c r="G1" s="42"/>
      <c r="H1" s="42"/>
      <c r="I1" s="42"/>
      <c r="J1" s="42"/>
      <c r="K1" s="42"/>
    </row>
    <row r="2" spans="1:79" s="843" customFormat="1" ht="136.19999999999999" customHeight="1" x14ac:dyDescent="0.3">
      <c r="A2" s="899"/>
      <c r="B2" s="985" t="s">
        <v>985</v>
      </c>
      <c r="C2" s="985"/>
      <c r="D2" s="985"/>
      <c r="E2" s="985"/>
      <c r="F2" s="985"/>
      <c r="G2" s="985"/>
      <c r="H2" s="985"/>
      <c r="I2" s="985"/>
      <c r="J2" s="985"/>
      <c r="K2" s="985"/>
    </row>
    <row r="3" spans="1:79" s="843" customFormat="1" ht="18.600000000000001" customHeight="1" x14ac:dyDescent="0.3">
      <c r="A3" s="899"/>
      <c r="B3" s="752"/>
      <c r="C3" s="752"/>
      <c r="D3" s="752"/>
      <c r="E3" s="752"/>
      <c r="F3" s="844"/>
      <c r="G3" s="844"/>
      <c r="H3" s="844"/>
      <c r="I3" s="844"/>
      <c r="J3" s="844"/>
    </row>
    <row r="4" spans="1:79" s="6" customFormat="1" ht="13.8" customHeight="1" x14ac:dyDescent="0.35">
      <c r="A4" s="846"/>
      <c r="B4" s="201" t="s">
        <v>948</v>
      </c>
      <c r="F4" s="844"/>
      <c r="G4" s="844"/>
      <c r="H4" s="844"/>
      <c r="I4" s="844"/>
      <c r="J4" s="844"/>
    </row>
    <row r="5" spans="1:79" s="846" customFormat="1" ht="4.8" customHeight="1" thickBot="1" x14ac:dyDescent="0.35"/>
    <row r="6" spans="1:79" s="44" customFormat="1" ht="45.6" customHeight="1" x14ac:dyDescent="0.3">
      <c r="A6" s="844"/>
      <c r="B6" s="634" t="s">
        <v>966</v>
      </c>
      <c r="C6" s="486" t="s">
        <v>705</v>
      </c>
      <c r="D6" s="486" t="s">
        <v>706</v>
      </c>
      <c r="E6" s="486" t="s">
        <v>701</v>
      </c>
      <c r="F6" s="487" t="s">
        <v>707</v>
      </c>
      <c r="G6" s="801" t="s">
        <v>753</v>
      </c>
    </row>
    <row r="7" spans="1:79" x14ac:dyDescent="0.3">
      <c r="B7" s="760" t="s">
        <v>137</v>
      </c>
      <c r="C7" s="136">
        <f>SUM(D13:F13)/3</f>
        <v>142.86909614336741</v>
      </c>
      <c r="D7" s="151">
        <f>SUM(U13:W13)/3</f>
        <v>149.54099549011806</v>
      </c>
      <c r="E7" s="139">
        <f>(D7-C7)</f>
        <v>6.6718993467506493</v>
      </c>
      <c r="F7" s="798">
        <f>E7/C7</f>
        <v>4.6699387949199866E-2</v>
      </c>
      <c r="G7" s="802">
        <f>((D7/C7)^(1/17))-1</f>
        <v>2.6884175148993439E-3</v>
      </c>
      <c r="H7" s="44"/>
      <c r="I7" s="114"/>
    </row>
    <row r="8" spans="1:79" ht="15" thickBot="1" x14ac:dyDescent="0.35">
      <c r="B8" s="808" t="s">
        <v>64</v>
      </c>
      <c r="C8" s="488">
        <f>SUM(D14:F14)/3</f>
        <v>93.716459681080849</v>
      </c>
      <c r="D8" s="489">
        <f>SUM(U14:W14)/3</f>
        <v>155.38225206702921</v>
      </c>
      <c r="E8" s="479">
        <f>(D8-C8)</f>
        <v>61.665792385948365</v>
      </c>
      <c r="F8" s="800">
        <f>E8/C8</f>
        <v>0.65800386181678649</v>
      </c>
      <c r="G8" s="804">
        <f>((D8/C8)^(1/17))-1</f>
        <v>3.018873436242564E-2</v>
      </c>
      <c r="I8" s="11"/>
    </row>
    <row r="9" spans="1:79" x14ac:dyDescent="0.3">
      <c r="B9" s="392"/>
      <c r="C9" s="119"/>
      <c r="D9" s="805"/>
      <c r="E9" s="464"/>
      <c r="F9" s="115"/>
      <c r="G9" s="806"/>
      <c r="H9" s="806"/>
      <c r="I9" s="44"/>
      <c r="W9" s="10"/>
      <c r="AD9" s="22"/>
    </row>
    <row r="10" spans="1:79" x14ac:dyDescent="0.3">
      <c r="B10" s="4"/>
      <c r="D10" s="807"/>
    </row>
    <row r="11" spans="1:79" ht="15" thickBot="1" x14ac:dyDescent="0.35">
      <c r="B11" s="4" t="s">
        <v>922</v>
      </c>
      <c r="D11" s="80"/>
    </row>
    <row r="12" spans="1:79" s="106" customFormat="1" x14ac:dyDescent="0.3">
      <c r="B12" s="848" t="s">
        <v>48</v>
      </c>
      <c r="C12" s="849" t="s">
        <v>0</v>
      </c>
      <c r="D12" s="850">
        <v>1999</v>
      </c>
      <c r="E12" s="850" t="s">
        <v>2</v>
      </c>
      <c r="F12" s="850" t="s">
        <v>3</v>
      </c>
      <c r="G12" s="850" t="s">
        <v>4</v>
      </c>
      <c r="H12" s="850" t="s">
        <v>5</v>
      </c>
      <c r="I12" s="850" t="s">
        <v>6</v>
      </c>
      <c r="J12" s="850" t="s">
        <v>7</v>
      </c>
      <c r="K12" s="850" t="s">
        <v>8</v>
      </c>
      <c r="L12" s="850" t="s">
        <v>9</v>
      </c>
      <c r="M12" s="850" t="s">
        <v>10</v>
      </c>
      <c r="N12" s="850" t="s">
        <v>11</v>
      </c>
      <c r="O12" s="850" t="s">
        <v>12</v>
      </c>
      <c r="P12" s="850" t="s">
        <v>13</v>
      </c>
      <c r="Q12" s="850" t="s">
        <v>14</v>
      </c>
      <c r="R12" s="850" t="s">
        <v>15</v>
      </c>
      <c r="S12" s="850" t="s">
        <v>16</v>
      </c>
      <c r="T12" s="850" t="s">
        <v>17</v>
      </c>
      <c r="U12" s="850" t="s">
        <v>18</v>
      </c>
      <c r="V12" s="851">
        <v>2017</v>
      </c>
      <c r="W12" s="852">
        <v>2018</v>
      </c>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row>
    <row r="13" spans="1:79" x14ac:dyDescent="0.3">
      <c r="B13" s="853" t="s">
        <v>137</v>
      </c>
      <c r="C13" s="383">
        <f>(C21/1000)/C35</f>
        <v>133.18403247631935</v>
      </c>
      <c r="D13" s="383">
        <f t="shared" ref="D13:E13" si="0">(D21/1000)/D35</f>
        <v>135.96495956873315</v>
      </c>
      <c r="E13" s="383">
        <f t="shared" si="0"/>
        <v>146.07631578947368</v>
      </c>
      <c r="F13" s="383">
        <f>(F21/1000)/F35</f>
        <v>146.56601307189544</v>
      </c>
      <c r="G13" s="383">
        <f t="shared" ref="G13:W13" si="1">(G21/1000)/G35</f>
        <v>149.97480106100795</v>
      </c>
      <c r="H13" s="383">
        <f t="shared" si="1"/>
        <v>143.60704960835511</v>
      </c>
      <c r="I13" s="383">
        <f t="shared" si="1"/>
        <v>145.14078947368421</v>
      </c>
      <c r="J13" s="383">
        <f t="shared" si="1"/>
        <v>152.43765903307889</v>
      </c>
      <c r="K13" s="383">
        <f t="shared" si="1"/>
        <v>187.41448189762798</v>
      </c>
      <c r="L13" s="383">
        <f t="shared" si="1"/>
        <v>157.33333333333334</v>
      </c>
      <c r="M13" s="383">
        <f t="shared" si="1"/>
        <v>160.04602991944765</v>
      </c>
      <c r="N13" s="383">
        <f t="shared" si="1"/>
        <v>136.57095343680709</v>
      </c>
      <c r="O13" s="383">
        <f t="shared" si="1"/>
        <v>148.94836670179134</v>
      </c>
      <c r="P13" s="383">
        <f t="shared" si="1"/>
        <v>159.08216432865731</v>
      </c>
      <c r="Q13" s="383">
        <f t="shared" si="1"/>
        <v>149.9607250755287</v>
      </c>
      <c r="R13" s="383">
        <f t="shared" si="1"/>
        <v>145.75467980295568</v>
      </c>
      <c r="S13" s="383">
        <f t="shared" si="1"/>
        <v>145.85496957403649</v>
      </c>
      <c r="T13" s="383">
        <f t="shared" si="1"/>
        <v>138.67550371155886</v>
      </c>
      <c r="U13" s="383">
        <f t="shared" si="1"/>
        <v>139.905</v>
      </c>
      <c r="V13" s="383">
        <f t="shared" si="1"/>
        <v>152.52857142857141</v>
      </c>
      <c r="W13" s="854">
        <f t="shared" si="1"/>
        <v>156.18941504178275</v>
      </c>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row>
    <row r="14" spans="1:79" ht="15" thickBot="1" x14ac:dyDescent="0.35">
      <c r="B14" s="855" t="s">
        <v>64</v>
      </c>
      <c r="C14" s="856">
        <f>(C25/1000)/C35</f>
        <v>86.882273342354523</v>
      </c>
      <c r="D14" s="856">
        <f t="shared" ref="D14:W14" si="2">(D25/1000)/D35</f>
        <v>86.673854447439354</v>
      </c>
      <c r="E14" s="856">
        <f t="shared" si="2"/>
        <v>97.755263157894731</v>
      </c>
      <c r="F14" s="856">
        <f t="shared" si="2"/>
        <v>96.720261437908491</v>
      </c>
      <c r="G14" s="856">
        <f t="shared" si="2"/>
        <v>94.242705570291776</v>
      </c>
      <c r="H14" s="856">
        <f t="shared" si="2"/>
        <v>99.067885117493475</v>
      </c>
      <c r="I14" s="856">
        <f t="shared" si="2"/>
        <v>101.66052631578947</v>
      </c>
      <c r="J14" s="856">
        <f t="shared" si="2"/>
        <v>112.72137404580154</v>
      </c>
      <c r="K14" s="856">
        <f t="shared" si="2"/>
        <v>110.78901373283398</v>
      </c>
      <c r="L14" s="856">
        <f t="shared" si="2"/>
        <v>113.3320707070707</v>
      </c>
      <c r="M14" s="856">
        <f t="shared" si="2"/>
        <v>119.44994246260069</v>
      </c>
      <c r="N14" s="856">
        <f t="shared" si="2"/>
        <v>110.12527716186253</v>
      </c>
      <c r="O14" s="856">
        <f t="shared" si="2"/>
        <v>124.62170706006322</v>
      </c>
      <c r="P14" s="856">
        <f t="shared" si="2"/>
        <v>133.82565130260519</v>
      </c>
      <c r="Q14" s="856">
        <f t="shared" si="2"/>
        <v>142.21450151057402</v>
      </c>
      <c r="R14" s="856">
        <f t="shared" si="2"/>
        <v>140.13990147783252</v>
      </c>
      <c r="S14" s="856">
        <f t="shared" si="2"/>
        <v>139.50405679513185</v>
      </c>
      <c r="T14" s="856">
        <f t="shared" si="2"/>
        <v>152.64262990455993</v>
      </c>
      <c r="U14" s="856">
        <f t="shared" si="2"/>
        <v>148.30500000000001</v>
      </c>
      <c r="V14" s="856">
        <f t="shared" si="2"/>
        <v>159.42857142857142</v>
      </c>
      <c r="W14" s="857">
        <f t="shared" si="2"/>
        <v>158.41318477251625</v>
      </c>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row>
    <row r="15" spans="1:79" x14ac:dyDescent="0.3">
      <c r="B15" s="31"/>
      <c r="C15" s="322"/>
      <c r="D15" s="322"/>
      <c r="E15" s="322"/>
      <c r="F15" s="322"/>
      <c r="G15" s="322"/>
      <c r="H15" s="322"/>
      <c r="I15" s="322"/>
      <c r="J15" s="322"/>
      <c r="K15" s="322"/>
      <c r="L15" s="322"/>
      <c r="M15" s="322"/>
      <c r="N15" s="322"/>
      <c r="O15" s="322"/>
      <c r="P15" s="322"/>
      <c r="Q15" s="322"/>
      <c r="R15" s="322"/>
      <c r="S15" s="322"/>
      <c r="T15" s="322"/>
      <c r="U15" s="322"/>
      <c r="V15" s="322"/>
      <c r="W15" s="32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row>
    <row r="17" spans="1:45" ht="18" x14ac:dyDescent="0.35">
      <c r="B17" s="201" t="s">
        <v>943</v>
      </c>
      <c r="Z17" s="6"/>
    </row>
    <row r="18" spans="1:45" s="106" customFormat="1" ht="15" thickBot="1" x14ac:dyDescent="0.35">
      <c r="B18" s="858" t="s">
        <v>946</v>
      </c>
      <c r="C18" s="859">
        <v>1998</v>
      </c>
      <c r="D18" s="859" t="s">
        <v>1</v>
      </c>
      <c r="E18" s="859" t="s">
        <v>2</v>
      </c>
      <c r="F18" s="859" t="s">
        <v>3</v>
      </c>
      <c r="G18" s="859" t="s">
        <v>4</v>
      </c>
      <c r="H18" s="859" t="s">
        <v>5</v>
      </c>
      <c r="I18" s="859" t="s">
        <v>6</v>
      </c>
      <c r="J18" s="859" t="s">
        <v>7</v>
      </c>
      <c r="K18" s="859" t="s">
        <v>8</v>
      </c>
      <c r="L18" s="859" t="s">
        <v>9</v>
      </c>
      <c r="M18" s="859" t="s">
        <v>10</v>
      </c>
      <c r="N18" s="859" t="s">
        <v>11</v>
      </c>
      <c r="O18" s="859" t="s">
        <v>12</v>
      </c>
      <c r="P18" s="859" t="s">
        <v>13</v>
      </c>
      <c r="Q18" s="859" t="s">
        <v>14</v>
      </c>
      <c r="R18" s="859" t="s">
        <v>15</v>
      </c>
      <c r="S18" s="859" t="s">
        <v>16</v>
      </c>
      <c r="T18" s="859" t="s">
        <v>17</v>
      </c>
      <c r="U18" s="859" t="s">
        <v>18</v>
      </c>
      <c r="V18" s="859">
        <v>2017</v>
      </c>
      <c r="W18" s="859">
        <v>2018</v>
      </c>
      <c r="AA18" s="749">
        <v>2019</v>
      </c>
      <c r="AB18" s="749">
        <v>2020</v>
      </c>
      <c r="AC18" s="749">
        <v>2021</v>
      </c>
      <c r="AD18" s="749">
        <v>2022</v>
      </c>
      <c r="AE18" s="749">
        <v>2023</v>
      </c>
      <c r="AF18" s="749">
        <v>2024</v>
      </c>
      <c r="AG18" s="749">
        <v>2025</v>
      </c>
      <c r="AH18" s="749">
        <v>2026</v>
      </c>
      <c r="AI18" s="749">
        <v>2027</v>
      </c>
      <c r="AJ18" s="749">
        <v>2028</v>
      </c>
      <c r="AK18" s="749">
        <v>2029</v>
      </c>
      <c r="AL18" s="749">
        <v>2030</v>
      </c>
      <c r="AM18" s="749">
        <v>2031</v>
      </c>
      <c r="AN18" s="749">
        <v>2032</v>
      </c>
      <c r="AO18" s="749">
        <v>2033</v>
      </c>
      <c r="AP18" s="749">
        <v>2034</v>
      </c>
      <c r="AQ18" s="749">
        <v>2035</v>
      </c>
    </row>
    <row r="19" spans="1:45" s="106" customFormat="1" x14ac:dyDescent="0.3">
      <c r="B19" s="860" t="s">
        <v>940</v>
      </c>
      <c r="C19" s="861">
        <v>100111</v>
      </c>
      <c r="D19" s="861">
        <v>102352</v>
      </c>
      <c r="E19" s="861">
        <v>112834</v>
      </c>
      <c r="F19" s="861">
        <v>113941</v>
      </c>
      <c r="G19" s="861">
        <v>114766</v>
      </c>
      <c r="H19" s="861">
        <v>111623</v>
      </c>
      <c r="I19" s="861">
        <v>112324</v>
      </c>
      <c r="J19" s="861">
        <v>121920</v>
      </c>
      <c r="K19" s="861">
        <v>153387</v>
      </c>
      <c r="L19" s="861">
        <v>128176</v>
      </c>
      <c r="M19" s="861">
        <v>142404</v>
      </c>
      <c r="N19" s="861">
        <v>125664</v>
      </c>
      <c r="O19" s="861">
        <v>144508</v>
      </c>
      <c r="P19" s="861">
        <v>162883</v>
      </c>
      <c r="Q19" s="861">
        <v>152501</v>
      </c>
      <c r="R19" s="861">
        <v>151223</v>
      </c>
      <c r="S19" s="861">
        <v>146872</v>
      </c>
      <c r="T19" s="861">
        <v>133664</v>
      </c>
      <c r="U19" s="861">
        <v>142705</v>
      </c>
      <c r="V19" s="861">
        <v>164081</v>
      </c>
      <c r="W19" s="862">
        <v>172211</v>
      </c>
      <c r="AA19" s="749"/>
      <c r="AB19" s="749"/>
      <c r="AC19" s="749"/>
      <c r="AD19" s="749"/>
      <c r="AE19" s="749"/>
      <c r="AF19" s="749"/>
      <c r="AG19" s="749"/>
      <c r="AH19" s="749"/>
      <c r="AI19" s="749"/>
      <c r="AJ19" s="749"/>
      <c r="AK19" s="749"/>
      <c r="AL19" s="749"/>
      <c r="AM19" s="749"/>
      <c r="AN19" s="749"/>
      <c r="AO19" s="749"/>
      <c r="AP19" s="749"/>
      <c r="AQ19" s="749"/>
    </row>
    <row r="20" spans="1:45" x14ac:dyDescent="0.3">
      <c r="B20" s="760" t="s">
        <v>974</v>
      </c>
      <c r="C20" s="845">
        <v>1688</v>
      </c>
      <c r="D20" s="845">
        <v>1466</v>
      </c>
      <c r="E20" s="845">
        <v>1816</v>
      </c>
      <c r="F20" s="845">
        <v>1818</v>
      </c>
      <c r="G20" s="845">
        <v>1685</v>
      </c>
      <c r="H20" s="845">
        <v>1620</v>
      </c>
      <c r="I20" s="845">
        <v>2017</v>
      </c>
      <c r="J20" s="845">
        <v>2104</v>
      </c>
      <c r="K20" s="845">
        <v>3268</v>
      </c>
      <c r="L20" s="845">
        <v>3568</v>
      </c>
      <c r="M20" s="845">
        <v>3324</v>
      </c>
      <c r="N20" s="845">
        <v>2477</v>
      </c>
      <c r="O20" s="845">
        <v>3156</v>
      </c>
      <c r="P20" s="845">
        <v>4119</v>
      </c>
      <c r="Q20" s="845">
        <v>3590</v>
      </c>
      <c r="R20" s="845">
        <v>3282</v>
      </c>
      <c r="S20" s="845">
        <v>3059</v>
      </c>
      <c r="T20" s="845">
        <v>2893</v>
      </c>
      <c r="U20" s="845">
        <v>2800</v>
      </c>
      <c r="V20" s="845">
        <v>3926</v>
      </c>
      <c r="W20" s="863">
        <v>3995</v>
      </c>
      <c r="AA20" s="465" t="e">
        <f>W20+(#REF!*W20)</f>
        <v>#REF!</v>
      </c>
      <c r="AB20" s="465" t="e">
        <f>(AA20*#REF!)+AA20</f>
        <v>#REF!</v>
      </c>
      <c r="AC20" s="465" t="e">
        <f>(AB20*#REF!)+AB20</f>
        <v>#REF!</v>
      </c>
      <c r="AD20" s="465" t="e">
        <f>(AC20*#REF!)+AC20</f>
        <v>#REF!</v>
      </c>
      <c r="AE20" s="465" t="e">
        <f>(AD20*#REF!)+AD20</f>
        <v>#REF!</v>
      </c>
      <c r="AF20" s="465" t="e">
        <f>(AE20*#REF!)+AE20</f>
        <v>#REF!</v>
      </c>
      <c r="AG20" s="465" t="e">
        <f>(AF20*#REF!)+AF20</f>
        <v>#REF!</v>
      </c>
      <c r="AH20" s="465" t="e">
        <f>(AG20*#REF!)+AG20</f>
        <v>#REF!</v>
      </c>
      <c r="AI20" s="465" t="e">
        <f>(AH20*#REF!)+AH20</f>
        <v>#REF!</v>
      </c>
      <c r="AJ20" s="465" t="e">
        <f>(AI20*#REF!)+AI20</f>
        <v>#REF!</v>
      </c>
      <c r="AK20" s="465" t="e">
        <f>(AJ20*#REF!)+AJ20</f>
        <v>#REF!</v>
      </c>
      <c r="AL20" s="465" t="e">
        <f>(AK20*#REF!)+AK20</f>
        <v>#REF!</v>
      </c>
      <c r="AM20" s="465" t="e">
        <f>(AL20*#REF!)+AL20</f>
        <v>#REF!</v>
      </c>
      <c r="AN20" s="465" t="e">
        <f>(AM20*#REF!)+AM20</f>
        <v>#REF!</v>
      </c>
      <c r="AO20" s="465" t="e">
        <f>(AN20*#REF!)+AN20</f>
        <v>#REF!</v>
      </c>
      <c r="AP20" s="465" t="e">
        <f>(AO20*#REF!)+AO20</f>
        <v>#REF!</v>
      </c>
      <c r="AQ20" s="465" t="e">
        <f>(AP20*#REF!)+AP20</f>
        <v>#REF!</v>
      </c>
    </row>
    <row r="21" spans="1:45" ht="15" thickBot="1" x14ac:dyDescent="0.35">
      <c r="B21" s="808" t="s">
        <v>944</v>
      </c>
      <c r="C21" s="864">
        <f>C19-C20</f>
        <v>98423</v>
      </c>
      <c r="D21" s="864">
        <f t="shared" ref="D21:W21" si="3">D19-D20</f>
        <v>100886</v>
      </c>
      <c r="E21" s="864">
        <f t="shared" si="3"/>
        <v>111018</v>
      </c>
      <c r="F21" s="864">
        <f t="shared" si="3"/>
        <v>112123</v>
      </c>
      <c r="G21" s="864">
        <f t="shared" si="3"/>
        <v>113081</v>
      </c>
      <c r="H21" s="864">
        <f t="shared" si="3"/>
        <v>110003</v>
      </c>
      <c r="I21" s="864">
        <f t="shared" si="3"/>
        <v>110307</v>
      </c>
      <c r="J21" s="864">
        <f t="shared" si="3"/>
        <v>119816</v>
      </c>
      <c r="K21" s="864">
        <f t="shared" si="3"/>
        <v>150119</v>
      </c>
      <c r="L21" s="864">
        <f t="shared" si="3"/>
        <v>124608</v>
      </c>
      <c r="M21" s="864">
        <f t="shared" si="3"/>
        <v>139080</v>
      </c>
      <c r="N21" s="864">
        <f t="shared" si="3"/>
        <v>123187</v>
      </c>
      <c r="O21" s="864">
        <f t="shared" si="3"/>
        <v>141352</v>
      </c>
      <c r="P21" s="864">
        <f t="shared" si="3"/>
        <v>158764</v>
      </c>
      <c r="Q21" s="864">
        <f t="shared" si="3"/>
        <v>148911</v>
      </c>
      <c r="R21" s="864">
        <f t="shared" si="3"/>
        <v>147941</v>
      </c>
      <c r="S21" s="864">
        <f t="shared" si="3"/>
        <v>143813</v>
      </c>
      <c r="T21" s="864">
        <f t="shared" si="3"/>
        <v>130771</v>
      </c>
      <c r="U21" s="864">
        <f t="shared" si="3"/>
        <v>139905</v>
      </c>
      <c r="V21" s="864">
        <f t="shared" si="3"/>
        <v>160155</v>
      </c>
      <c r="W21" s="865">
        <f t="shared" si="3"/>
        <v>168216</v>
      </c>
      <c r="AA21" s="465" t="e">
        <f>W21+(#REF!*W21)</f>
        <v>#REF!</v>
      </c>
      <c r="AB21" s="465" t="e">
        <f>(AA21*#REF!)+AA21</f>
        <v>#REF!</v>
      </c>
      <c r="AC21" s="465" t="e">
        <f>(AB21*#REF!)+AB21</f>
        <v>#REF!</v>
      </c>
      <c r="AD21" s="465" t="e">
        <f>(AC21*#REF!)+AC21</f>
        <v>#REF!</v>
      </c>
      <c r="AE21" s="465" t="e">
        <f>(AD21*#REF!)+AD21</f>
        <v>#REF!</v>
      </c>
      <c r="AF21" s="465" t="e">
        <f>(AE21*#REF!)+AE21</f>
        <v>#REF!</v>
      </c>
      <c r="AG21" s="465" t="e">
        <f>(AF21*#REF!)+AF21</f>
        <v>#REF!</v>
      </c>
      <c r="AH21" s="465" t="e">
        <f>(AG21*#REF!)+AG21</f>
        <v>#REF!</v>
      </c>
      <c r="AI21" s="465" t="e">
        <f>(AH21*#REF!)+AH21</f>
        <v>#REF!</v>
      </c>
      <c r="AJ21" s="465" t="e">
        <f>(AI21*#REF!)+AI21</f>
        <v>#REF!</v>
      </c>
      <c r="AK21" s="465" t="e">
        <f>(AJ21*#REF!)+AJ21</f>
        <v>#REF!</v>
      </c>
      <c r="AL21" s="465" t="e">
        <f>(AK21*#REF!)+AK21</f>
        <v>#REF!</v>
      </c>
      <c r="AM21" s="465" t="e">
        <f>(AL21*#REF!)+AL21</f>
        <v>#REF!</v>
      </c>
      <c r="AN21" s="465" t="e">
        <f>(AM21*#REF!)+AM21</f>
        <v>#REF!</v>
      </c>
      <c r="AO21" s="465" t="e">
        <f>(AN21*#REF!)+AN21</f>
        <v>#REF!</v>
      </c>
      <c r="AP21" s="465" t="e">
        <f>(AO21*#REF!)+AO21</f>
        <v>#REF!</v>
      </c>
      <c r="AQ21" s="465" t="e">
        <f>(AP21*#REF!)+AP21</f>
        <v>#REF!</v>
      </c>
    </row>
    <row r="22" spans="1:45" ht="15" thickBot="1" x14ac:dyDescent="0.35">
      <c r="B22" s="80"/>
      <c r="C22" s="580"/>
      <c r="D22" s="580"/>
      <c r="E22" s="580"/>
      <c r="F22" s="580"/>
      <c r="G22" s="580"/>
      <c r="H22" s="580"/>
      <c r="I22" s="580"/>
      <c r="J22" s="580"/>
      <c r="K22" s="580"/>
      <c r="L22" s="580"/>
      <c r="M22" s="580"/>
      <c r="N22" s="580"/>
      <c r="O22" s="580"/>
      <c r="P22" s="580"/>
      <c r="Q22" s="580"/>
      <c r="R22" s="580"/>
      <c r="S22" s="580"/>
      <c r="T22" s="580"/>
      <c r="U22" s="580"/>
      <c r="V22" s="580"/>
      <c r="W22" s="580"/>
    </row>
    <row r="23" spans="1:45" x14ac:dyDescent="0.3">
      <c r="B23" s="866" t="s">
        <v>942</v>
      </c>
      <c r="C23" s="861">
        <v>65168</v>
      </c>
      <c r="D23" s="861">
        <v>65432</v>
      </c>
      <c r="E23" s="861">
        <v>76126</v>
      </c>
      <c r="F23" s="861">
        <v>75592</v>
      </c>
      <c r="G23" s="861">
        <v>72192</v>
      </c>
      <c r="H23" s="861">
        <v>77071</v>
      </c>
      <c r="I23" s="861">
        <v>79389</v>
      </c>
      <c r="J23" s="861">
        <v>90837</v>
      </c>
      <c r="K23" s="861">
        <v>91372</v>
      </c>
      <c r="L23" s="861">
        <v>94348</v>
      </c>
      <c r="M23" s="861">
        <v>109855</v>
      </c>
      <c r="N23" s="861">
        <v>101700</v>
      </c>
      <c r="O23" s="861">
        <v>122529</v>
      </c>
      <c r="P23" s="861">
        <v>140921</v>
      </c>
      <c r="Q23" s="861">
        <v>146887</v>
      </c>
      <c r="R23" s="861">
        <v>149167</v>
      </c>
      <c r="S23" s="861">
        <v>146244</v>
      </c>
      <c r="T23" s="861">
        <v>153088</v>
      </c>
      <c r="U23" s="861">
        <v>156368</v>
      </c>
      <c r="V23" s="861">
        <v>174658</v>
      </c>
      <c r="W23" s="862">
        <v>178440</v>
      </c>
    </row>
    <row r="24" spans="1:45" x14ac:dyDescent="0.3">
      <c r="B24" s="853" t="s">
        <v>973</v>
      </c>
      <c r="C24" s="847">
        <v>962</v>
      </c>
      <c r="D24" s="847">
        <v>1120</v>
      </c>
      <c r="E24" s="847">
        <v>1832</v>
      </c>
      <c r="F24" s="847">
        <v>1601</v>
      </c>
      <c r="G24" s="847">
        <v>1133</v>
      </c>
      <c r="H24" s="847">
        <v>1185</v>
      </c>
      <c r="I24" s="847">
        <v>2127</v>
      </c>
      <c r="J24" s="847">
        <v>2238</v>
      </c>
      <c r="K24" s="847">
        <v>2630</v>
      </c>
      <c r="L24" s="847">
        <v>4589</v>
      </c>
      <c r="M24" s="847">
        <v>6053</v>
      </c>
      <c r="N24" s="847">
        <v>2367</v>
      </c>
      <c r="O24" s="847">
        <v>4263</v>
      </c>
      <c r="P24" s="847">
        <v>7363</v>
      </c>
      <c r="Q24" s="847">
        <v>5668</v>
      </c>
      <c r="R24" s="847">
        <v>6925</v>
      </c>
      <c r="S24" s="847">
        <v>8693</v>
      </c>
      <c r="T24" s="847">
        <v>9146</v>
      </c>
      <c r="U24" s="847">
        <v>8063</v>
      </c>
      <c r="V24" s="847">
        <v>7258</v>
      </c>
      <c r="W24" s="867">
        <v>7829</v>
      </c>
    </row>
    <row r="25" spans="1:45" ht="15" thickBot="1" x14ac:dyDescent="0.35">
      <c r="B25" s="855" t="s">
        <v>941</v>
      </c>
      <c r="C25" s="864">
        <f t="shared" ref="C25:V25" si="4">C23-C24</f>
        <v>64206</v>
      </c>
      <c r="D25" s="864">
        <f t="shared" si="4"/>
        <v>64312</v>
      </c>
      <c r="E25" s="864">
        <f t="shared" si="4"/>
        <v>74294</v>
      </c>
      <c r="F25" s="864">
        <f t="shared" si="4"/>
        <v>73991</v>
      </c>
      <c r="G25" s="864">
        <f t="shared" si="4"/>
        <v>71059</v>
      </c>
      <c r="H25" s="864">
        <f t="shared" si="4"/>
        <v>75886</v>
      </c>
      <c r="I25" s="864">
        <f t="shared" si="4"/>
        <v>77262</v>
      </c>
      <c r="J25" s="864">
        <f t="shared" si="4"/>
        <v>88599</v>
      </c>
      <c r="K25" s="864">
        <f t="shared" si="4"/>
        <v>88742</v>
      </c>
      <c r="L25" s="864">
        <f t="shared" si="4"/>
        <v>89759</v>
      </c>
      <c r="M25" s="864">
        <f t="shared" si="4"/>
        <v>103802</v>
      </c>
      <c r="N25" s="864">
        <f t="shared" si="4"/>
        <v>99333</v>
      </c>
      <c r="O25" s="864">
        <f t="shared" si="4"/>
        <v>118266</v>
      </c>
      <c r="P25" s="864">
        <f t="shared" si="4"/>
        <v>133558</v>
      </c>
      <c r="Q25" s="864">
        <f t="shared" si="4"/>
        <v>141219</v>
      </c>
      <c r="R25" s="864">
        <f t="shared" si="4"/>
        <v>142242</v>
      </c>
      <c r="S25" s="864">
        <f t="shared" si="4"/>
        <v>137551</v>
      </c>
      <c r="T25" s="864">
        <f t="shared" si="4"/>
        <v>143942</v>
      </c>
      <c r="U25" s="864">
        <f t="shared" si="4"/>
        <v>148305</v>
      </c>
      <c r="V25" s="864">
        <f t="shared" si="4"/>
        <v>167400</v>
      </c>
      <c r="W25" s="865">
        <f>W23-W24</f>
        <v>170611</v>
      </c>
    </row>
    <row r="26" spans="1:45" x14ac:dyDescent="0.3">
      <c r="B26" s="80" t="s">
        <v>947</v>
      </c>
      <c r="V26" s="598"/>
      <c r="AC26" s="10"/>
      <c r="AD26" s="10"/>
      <c r="AE26" s="10"/>
      <c r="AF26" s="10"/>
      <c r="AG26" s="10"/>
      <c r="AH26" s="10"/>
      <c r="AI26" s="10"/>
      <c r="AJ26" s="10"/>
      <c r="AK26" s="10"/>
      <c r="AL26" s="10"/>
      <c r="AM26" s="10"/>
      <c r="AN26" s="10"/>
      <c r="AO26" s="10"/>
      <c r="AP26" s="10"/>
      <c r="AQ26" s="10"/>
      <c r="AR26" s="10"/>
      <c r="AS26" s="10"/>
    </row>
    <row r="27" spans="1:45" s="843" customFormat="1" x14ac:dyDescent="0.3">
      <c r="A27" s="899"/>
      <c r="B27" s="80"/>
      <c r="V27" s="598"/>
      <c r="AC27" s="10"/>
      <c r="AD27" s="10"/>
      <c r="AE27" s="10"/>
      <c r="AF27" s="10"/>
      <c r="AG27" s="10"/>
      <c r="AH27" s="10"/>
      <c r="AI27" s="10"/>
      <c r="AJ27" s="10"/>
      <c r="AK27" s="10"/>
      <c r="AL27" s="10"/>
      <c r="AM27" s="10"/>
      <c r="AN27" s="10"/>
      <c r="AO27" s="10"/>
      <c r="AP27" s="10"/>
      <c r="AQ27" s="10"/>
      <c r="AR27" s="10"/>
      <c r="AS27" s="10"/>
    </row>
    <row r="28" spans="1:45" ht="24.6" customHeight="1" x14ac:dyDescent="0.35">
      <c r="B28" s="201" t="s">
        <v>972</v>
      </c>
    </row>
    <row r="29" spans="1:45" ht="18" x14ac:dyDescent="0.35">
      <c r="B29" s="201" t="s">
        <v>686</v>
      </c>
    </row>
    <row r="30" spans="1:45" ht="28.95" customHeight="1" thickBot="1" x14ac:dyDescent="0.35">
      <c r="B30" s="976" t="s">
        <v>687</v>
      </c>
      <c r="C30" s="976"/>
      <c r="D30" s="976"/>
      <c r="E30" s="976"/>
      <c r="F30" s="976"/>
      <c r="G30" s="976"/>
      <c r="H30" s="976"/>
      <c r="I30" s="751"/>
      <c r="J30" s="751"/>
      <c r="K30" s="751"/>
    </row>
    <row r="31" spans="1:45" s="106" customFormat="1" x14ac:dyDescent="0.3">
      <c r="B31" s="378" t="s">
        <v>48</v>
      </c>
      <c r="C31" s="622" t="s">
        <v>0</v>
      </c>
      <c r="D31" s="379" t="s">
        <v>1</v>
      </c>
      <c r="E31" s="379" t="s">
        <v>2</v>
      </c>
      <c r="F31" s="379">
        <v>2001</v>
      </c>
      <c r="G31" s="379" t="s">
        <v>4</v>
      </c>
      <c r="H31" s="379" t="s">
        <v>5</v>
      </c>
      <c r="I31" s="379" t="s">
        <v>6</v>
      </c>
      <c r="J31" s="379" t="s">
        <v>7</v>
      </c>
      <c r="K31" s="379" t="s">
        <v>8</v>
      </c>
      <c r="L31" s="379" t="s">
        <v>9</v>
      </c>
      <c r="M31" s="379" t="s">
        <v>10</v>
      </c>
      <c r="N31" s="379" t="s">
        <v>11</v>
      </c>
      <c r="O31" s="379" t="s">
        <v>12</v>
      </c>
      <c r="P31" s="379" t="s">
        <v>13</v>
      </c>
      <c r="Q31" s="379" t="s">
        <v>14</v>
      </c>
      <c r="R31" s="379" t="s">
        <v>15</v>
      </c>
      <c r="S31" s="379" t="s">
        <v>16</v>
      </c>
      <c r="T31" s="379" t="s">
        <v>17</v>
      </c>
      <c r="U31" s="379" t="s">
        <v>18</v>
      </c>
      <c r="V31" s="379">
        <v>2017</v>
      </c>
      <c r="W31" s="382">
        <v>2018</v>
      </c>
      <c r="AC31" s="465"/>
      <c r="AD31" s="465"/>
      <c r="AE31" s="465"/>
      <c r="AF31" s="465"/>
      <c r="AG31" s="465"/>
      <c r="AH31" s="465"/>
      <c r="AI31" s="465"/>
      <c r="AJ31" s="465"/>
      <c r="AK31" s="465"/>
      <c r="AL31" s="465"/>
      <c r="AM31" s="465"/>
      <c r="AN31" s="465"/>
      <c r="AO31" s="465"/>
      <c r="AP31" s="465"/>
      <c r="AQ31" s="465"/>
      <c r="AR31" s="465"/>
      <c r="AS31" s="465"/>
    </row>
    <row r="32" spans="1:45" x14ac:dyDescent="0.3">
      <c r="B32" s="380" t="s">
        <v>481</v>
      </c>
      <c r="C32" s="137">
        <v>80.099999999999994</v>
      </c>
      <c r="D32" s="623">
        <v>79.599999999999994</v>
      </c>
      <c r="E32" s="623">
        <v>81.7</v>
      </c>
      <c r="F32" s="623">
        <v>81.599999999999994</v>
      </c>
      <c r="G32" s="623">
        <v>79.3</v>
      </c>
      <c r="H32" s="623">
        <v>79.400000000000006</v>
      </c>
      <c r="I32" s="623">
        <v>78.3</v>
      </c>
      <c r="J32" s="623">
        <v>81</v>
      </c>
      <c r="K32" s="623">
        <v>83.1</v>
      </c>
      <c r="L32" s="623">
        <v>83.6</v>
      </c>
      <c r="M32" s="623">
        <v>93.9</v>
      </c>
      <c r="N32" s="623">
        <v>95.8</v>
      </c>
      <c r="O32" s="623">
        <v>99.2</v>
      </c>
      <c r="P32" s="623">
        <v>106.1</v>
      </c>
      <c r="Q32" s="623">
        <v>105.3</v>
      </c>
      <c r="R32" s="623">
        <v>106.3</v>
      </c>
      <c r="S32" s="623">
        <v>101.9</v>
      </c>
      <c r="T32" s="623">
        <v>96</v>
      </c>
      <c r="U32" s="623">
        <v>100</v>
      </c>
      <c r="V32" s="119">
        <v>105.4</v>
      </c>
      <c r="W32" s="142">
        <v>108.6</v>
      </c>
    </row>
    <row r="33" spans="2:45" x14ac:dyDescent="0.3">
      <c r="B33" s="624" t="s">
        <v>483</v>
      </c>
      <c r="C33" s="197">
        <f>C32/100</f>
        <v>0.80099999999999993</v>
      </c>
      <c r="D33" s="190">
        <f>D32/100</f>
        <v>0.79599999999999993</v>
      </c>
      <c r="E33" s="190">
        <f>E32/100</f>
        <v>0.81700000000000006</v>
      </c>
      <c r="F33" s="190">
        <f>F32/100</f>
        <v>0.81599999999999995</v>
      </c>
      <c r="G33" s="190">
        <f t="shared" ref="G33:W33" si="5">G32/100</f>
        <v>0.79299999999999993</v>
      </c>
      <c r="H33" s="190">
        <f t="shared" si="5"/>
        <v>0.79400000000000004</v>
      </c>
      <c r="I33" s="190">
        <f t="shared" si="5"/>
        <v>0.78299999999999992</v>
      </c>
      <c r="J33" s="190">
        <f t="shared" si="5"/>
        <v>0.81</v>
      </c>
      <c r="K33" s="190">
        <f t="shared" si="5"/>
        <v>0.83099999999999996</v>
      </c>
      <c r="L33" s="190">
        <f t="shared" si="5"/>
        <v>0.83599999999999997</v>
      </c>
      <c r="M33" s="190">
        <f t="shared" si="5"/>
        <v>0.93900000000000006</v>
      </c>
      <c r="N33" s="190">
        <f t="shared" si="5"/>
        <v>0.95799999999999996</v>
      </c>
      <c r="O33" s="190">
        <f t="shared" si="5"/>
        <v>0.99199999999999999</v>
      </c>
      <c r="P33" s="190">
        <f t="shared" si="5"/>
        <v>1.0609999999999999</v>
      </c>
      <c r="Q33" s="190">
        <f t="shared" si="5"/>
        <v>1.0529999999999999</v>
      </c>
      <c r="R33" s="190">
        <f t="shared" si="5"/>
        <v>1.0629999999999999</v>
      </c>
      <c r="S33" s="190">
        <f t="shared" si="5"/>
        <v>1.0190000000000001</v>
      </c>
      <c r="T33" s="190">
        <f t="shared" si="5"/>
        <v>0.96</v>
      </c>
      <c r="U33" s="190">
        <f t="shared" si="5"/>
        <v>1</v>
      </c>
      <c r="V33" s="190">
        <f>V32/100</f>
        <v>1.054</v>
      </c>
      <c r="W33" s="191">
        <f t="shared" si="5"/>
        <v>1.0859999999999999</v>
      </c>
    </row>
    <row r="34" spans="2:45" x14ac:dyDescent="0.3">
      <c r="B34" s="454" t="s">
        <v>482</v>
      </c>
      <c r="C34" s="137">
        <v>73.900000000000006</v>
      </c>
      <c r="D34" s="623">
        <v>74.2</v>
      </c>
      <c r="E34" s="623">
        <v>76</v>
      </c>
      <c r="F34" s="623">
        <v>76.5</v>
      </c>
      <c r="G34" s="623">
        <v>75.400000000000006</v>
      </c>
      <c r="H34" s="623">
        <v>76.599999999999994</v>
      </c>
      <c r="I34" s="623">
        <v>76</v>
      </c>
      <c r="J34" s="623">
        <v>78.599999999999994</v>
      </c>
      <c r="K34" s="623">
        <v>80.099999999999994</v>
      </c>
      <c r="L34" s="623">
        <v>79.2</v>
      </c>
      <c r="M34" s="623">
        <v>86.9</v>
      </c>
      <c r="N34" s="623">
        <v>90.2</v>
      </c>
      <c r="O34" s="623">
        <v>94.9</v>
      </c>
      <c r="P34" s="623">
        <v>99.8</v>
      </c>
      <c r="Q34" s="623">
        <v>99.3</v>
      </c>
      <c r="R34" s="623">
        <v>101.5</v>
      </c>
      <c r="S34" s="623">
        <v>98.6</v>
      </c>
      <c r="T34" s="623">
        <v>94.3</v>
      </c>
      <c r="U34" s="623">
        <v>100</v>
      </c>
      <c r="V34" s="119">
        <v>105</v>
      </c>
      <c r="W34" s="142">
        <v>107.7</v>
      </c>
      <c r="AC34" s="106"/>
      <c r="AD34" s="106"/>
      <c r="AE34" s="106"/>
      <c r="AF34" s="106"/>
      <c r="AG34" s="106"/>
      <c r="AH34" s="106"/>
      <c r="AI34" s="106"/>
      <c r="AJ34" s="106"/>
      <c r="AK34" s="106"/>
      <c r="AL34" s="106"/>
      <c r="AM34" s="106"/>
      <c r="AN34" s="106"/>
      <c r="AO34" s="106"/>
      <c r="AP34" s="106"/>
      <c r="AQ34" s="106"/>
      <c r="AR34" s="106"/>
      <c r="AS34" s="106"/>
    </row>
    <row r="35" spans="2:45" ht="15" thickBot="1" x14ac:dyDescent="0.35">
      <c r="B35" s="456" t="s">
        <v>484</v>
      </c>
      <c r="C35" s="625">
        <f>C34/100</f>
        <v>0.7390000000000001</v>
      </c>
      <c r="D35" s="626">
        <f>D34/100</f>
        <v>0.74199999999999999</v>
      </c>
      <c r="E35" s="626">
        <f>E34/100</f>
        <v>0.76</v>
      </c>
      <c r="F35" s="626">
        <f>F34/100</f>
        <v>0.76500000000000001</v>
      </c>
      <c r="G35" s="626">
        <f t="shared" ref="G35:W35" si="6">G34/100</f>
        <v>0.754</v>
      </c>
      <c r="H35" s="626">
        <f t="shared" si="6"/>
        <v>0.7659999999999999</v>
      </c>
      <c r="I35" s="626">
        <f t="shared" si="6"/>
        <v>0.76</v>
      </c>
      <c r="J35" s="626">
        <f t="shared" si="6"/>
        <v>0.78599999999999992</v>
      </c>
      <c r="K35" s="626">
        <f t="shared" si="6"/>
        <v>0.80099999999999993</v>
      </c>
      <c r="L35" s="626">
        <f t="shared" si="6"/>
        <v>0.79200000000000004</v>
      </c>
      <c r="M35" s="626">
        <f t="shared" si="6"/>
        <v>0.86900000000000011</v>
      </c>
      <c r="N35" s="626">
        <f t="shared" si="6"/>
        <v>0.90200000000000002</v>
      </c>
      <c r="O35" s="626">
        <f t="shared" si="6"/>
        <v>0.94900000000000007</v>
      </c>
      <c r="P35" s="626">
        <f t="shared" si="6"/>
        <v>0.998</v>
      </c>
      <c r="Q35" s="626">
        <f t="shared" si="6"/>
        <v>0.99299999999999999</v>
      </c>
      <c r="R35" s="626">
        <f t="shared" si="6"/>
        <v>1.0149999999999999</v>
      </c>
      <c r="S35" s="626">
        <f t="shared" si="6"/>
        <v>0.98599999999999999</v>
      </c>
      <c r="T35" s="626">
        <f t="shared" si="6"/>
        <v>0.94299999999999995</v>
      </c>
      <c r="U35" s="626">
        <f t="shared" si="6"/>
        <v>1</v>
      </c>
      <c r="V35" s="626">
        <f>V34/100</f>
        <v>1.05</v>
      </c>
      <c r="W35" s="627">
        <f t="shared" si="6"/>
        <v>1.077</v>
      </c>
    </row>
    <row r="37" spans="2:45" x14ac:dyDescent="0.3">
      <c r="B37" s="92" t="s">
        <v>482</v>
      </c>
    </row>
    <row r="38" spans="2:45" x14ac:dyDescent="0.3">
      <c r="B38" s="92" t="s">
        <v>481</v>
      </c>
    </row>
    <row r="39" spans="2:45" ht="46.8" customHeight="1" x14ac:dyDescent="0.3">
      <c r="B39" s="971"/>
      <c r="C39" s="971"/>
      <c r="D39" s="971"/>
      <c r="E39" s="971"/>
      <c r="F39" s="971"/>
      <c r="G39" s="971"/>
      <c r="H39" s="971"/>
      <c r="I39" s="971"/>
      <c r="J39" s="971"/>
      <c r="K39" s="971"/>
      <c r="L39" s="971"/>
      <c r="M39" s="971"/>
      <c r="N39" s="971"/>
    </row>
    <row r="40" spans="2:45" x14ac:dyDescent="0.3">
      <c r="B40" s="92"/>
    </row>
    <row r="41" spans="2:45" ht="18" x14ac:dyDescent="0.35">
      <c r="B41" s="201"/>
    </row>
    <row r="42" spans="2:45" x14ac:dyDescent="0.3">
      <c r="B42" s="2"/>
    </row>
    <row r="43" spans="2:45" x14ac:dyDescent="0.3">
      <c r="B43" s="325"/>
    </row>
    <row r="44" spans="2:45" s="106" customFormat="1" x14ac:dyDescent="0.3">
      <c r="B44" s="104"/>
      <c r="C44" s="105"/>
      <c r="D44" s="105"/>
      <c r="E44" s="105"/>
      <c r="F44" s="105"/>
      <c r="G44" s="105"/>
      <c r="H44" s="105"/>
      <c r="I44" s="105"/>
      <c r="J44" s="105"/>
      <c r="K44" s="105"/>
      <c r="L44" s="105"/>
      <c r="M44" s="105"/>
      <c r="N44" s="105"/>
      <c r="O44" s="105"/>
      <c r="P44" s="105"/>
      <c r="Q44" s="105"/>
      <c r="R44" s="105"/>
      <c r="S44" s="105"/>
      <c r="T44" s="105"/>
      <c r="AC44" s="465"/>
      <c r="AD44" s="465"/>
      <c r="AE44" s="465"/>
      <c r="AF44" s="465"/>
      <c r="AG44" s="465"/>
      <c r="AH44" s="465"/>
      <c r="AI44" s="465"/>
      <c r="AJ44" s="465"/>
      <c r="AK44" s="465"/>
      <c r="AL44" s="465"/>
      <c r="AM44" s="465"/>
      <c r="AN44" s="465"/>
      <c r="AO44" s="465"/>
      <c r="AP44" s="465"/>
      <c r="AQ44" s="465"/>
      <c r="AR44" s="465"/>
      <c r="AS44" s="465"/>
    </row>
    <row r="45" spans="2:45" x14ac:dyDescent="0.3">
      <c r="B45" s="31"/>
    </row>
    <row r="46" spans="2:45" x14ac:dyDescent="0.3">
      <c r="C46" s="62"/>
      <c r="D46" s="62"/>
      <c r="E46" s="62"/>
      <c r="F46" s="62"/>
      <c r="G46" s="62"/>
      <c r="H46" s="62"/>
      <c r="I46" s="62"/>
      <c r="J46" s="62"/>
      <c r="K46" s="62"/>
      <c r="L46" s="62"/>
      <c r="M46" s="62"/>
      <c r="N46" s="62"/>
      <c r="O46" s="62"/>
      <c r="P46" s="62"/>
      <c r="Q46" s="62"/>
      <c r="R46" s="62"/>
      <c r="S46" s="62"/>
      <c r="T46" s="62"/>
    </row>
    <row r="47" spans="2:45" ht="13.2" customHeight="1" x14ac:dyDescent="0.3">
      <c r="AC47" s="106"/>
      <c r="AD47" s="106"/>
      <c r="AE47" s="106"/>
      <c r="AF47" s="106"/>
      <c r="AG47" s="106"/>
      <c r="AH47" s="106"/>
      <c r="AI47" s="106"/>
      <c r="AJ47" s="106"/>
      <c r="AK47" s="106"/>
      <c r="AL47" s="106"/>
      <c r="AM47" s="106"/>
      <c r="AN47" s="106"/>
      <c r="AO47" s="106"/>
      <c r="AP47" s="106"/>
      <c r="AQ47" s="106"/>
      <c r="AR47" s="106"/>
      <c r="AS47" s="106"/>
    </row>
    <row r="48" spans="2:45" ht="21" x14ac:dyDescent="0.4">
      <c r="B48" s="563"/>
    </row>
    <row r="49" spans="2:6" ht="18.600000000000001" thickBot="1" x14ac:dyDescent="0.4">
      <c r="B49" s="201"/>
    </row>
    <row r="50" spans="2:6" ht="18" x14ac:dyDescent="0.35">
      <c r="B50" s="352"/>
      <c r="C50" s="357"/>
      <c r="D50" s="358"/>
      <c r="E50" s="581"/>
    </row>
    <row r="51" spans="2:6" x14ac:dyDescent="0.3">
      <c r="B51" s="292"/>
      <c r="C51" s="44"/>
      <c r="D51" s="44"/>
      <c r="E51" s="582"/>
      <c r="F51" s="92"/>
    </row>
    <row r="52" spans="2:6" x14ac:dyDescent="0.3">
      <c r="B52" s="292"/>
      <c r="C52" s="44"/>
      <c r="D52" s="44"/>
      <c r="E52" s="582"/>
      <c r="F52" s="92"/>
    </row>
    <row r="53" spans="2:6" x14ac:dyDescent="0.3">
      <c r="B53" s="292"/>
      <c r="C53" s="44"/>
      <c r="D53" s="44"/>
      <c r="E53" s="582"/>
      <c r="F53" s="325"/>
    </row>
    <row r="54" spans="2:6" x14ac:dyDescent="0.3">
      <c r="B54" s="292"/>
      <c r="C54" s="44"/>
      <c r="D54" s="44"/>
      <c r="E54" s="582"/>
    </row>
    <row r="55" spans="2:6" x14ac:dyDescent="0.3">
      <c r="B55" s="292"/>
      <c r="C55" s="44"/>
      <c r="D55" s="44"/>
      <c r="E55" s="582"/>
      <c r="F55" s="92"/>
    </row>
    <row r="56" spans="2:6" x14ac:dyDescent="0.3">
      <c r="B56" s="292"/>
      <c r="C56" s="44"/>
      <c r="D56" s="44"/>
      <c r="E56" s="582"/>
      <c r="F56" s="92"/>
    </row>
    <row r="57" spans="2:6" ht="15" thickBot="1" x14ac:dyDescent="0.35">
      <c r="B57" s="359"/>
      <c r="C57" s="360"/>
      <c r="D57" s="360"/>
      <c r="E57" s="583"/>
      <c r="F57" s="92"/>
    </row>
    <row r="59" spans="2:6" ht="15" thickBot="1" x14ac:dyDescent="0.35">
      <c r="B59" s="6"/>
    </row>
    <row r="60" spans="2:6" ht="18.600000000000001" thickBot="1" x14ac:dyDescent="0.4">
      <c r="B60" s="355"/>
      <c r="C60" s="356"/>
    </row>
    <row r="61" spans="2:6" x14ac:dyDescent="0.3">
      <c r="B61" s="292"/>
      <c r="C61" s="349"/>
      <c r="F61" s="92"/>
    </row>
    <row r="62" spans="2:6" x14ac:dyDescent="0.3">
      <c r="B62" s="292"/>
      <c r="C62" s="349"/>
      <c r="F62" s="92"/>
    </row>
    <row r="63" spans="2:6" x14ac:dyDescent="0.3">
      <c r="B63" s="292"/>
      <c r="C63" s="349"/>
      <c r="E63" s="92"/>
    </row>
    <row r="64" spans="2:6" x14ac:dyDescent="0.3">
      <c r="B64" s="292"/>
      <c r="C64" s="349"/>
    </row>
    <row r="65" spans="2:6" x14ac:dyDescent="0.3">
      <c r="B65" s="292"/>
      <c r="C65" s="349"/>
    </row>
    <row r="66" spans="2:6" x14ac:dyDescent="0.3">
      <c r="B66" s="292"/>
      <c r="C66" s="349"/>
    </row>
    <row r="67" spans="2:6" ht="15" thickBot="1" x14ac:dyDescent="0.35">
      <c r="B67" s="288"/>
      <c r="C67" s="350"/>
    </row>
    <row r="68" spans="2:6" ht="15" thickBot="1" x14ac:dyDescent="0.35">
      <c r="B68" s="538"/>
      <c r="C68" s="503"/>
    </row>
    <row r="69" spans="2:6" x14ac:dyDescent="0.3">
      <c r="B69" s="44"/>
      <c r="C69" s="44"/>
      <c r="E69" s="92"/>
    </row>
    <row r="70" spans="2:6" ht="15" thickBot="1" x14ac:dyDescent="0.35">
      <c r="B70" s="44"/>
      <c r="C70" s="44"/>
    </row>
    <row r="71" spans="2:6" ht="18" x14ac:dyDescent="0.35">
      <c r="B71" s="361"/>
      <c r="C71" s="362"/>
    </row>
    <row r="72" spans="2:6" x14ac:dyDescent="0.3">
      <c r="B72" s="363"/>
      <c r="C72" s="585"/>
    </row>
    <row r="73" spans="2:6" ht="15" thickBot="1" x14ac:dyDescent="0.35">
      <c r="B73" s="365"/>
      <c r="C73" s="584"/>
      <c r="E73" s="62"/>
    </row>
    <row r="74" spans="2:6" ht="15" thickBot="1" x14ac:dyDescent="0.35"/>
    <row r="75" spans="2:6" ht="18" x14ac:dyDescent="0.35">
      <c r="B75" s="361"/>
      <c r="C75" s="367"/>
      <c r="D75" s="362"/>
      <c r="F75" s="353"/>
    </row>
    <row r="76" spans="2:6" x14ac:dyDescent="0.3">
      <c r="B76" s="363"/>
      <c r="C76" s="354"/>
      <c r="D76" s="364"/>
      <c r="E76" s="62"/>
    </row>
    <row r="77" spans="2:6" ht="15" thickBot="1" x14ac:dyDescent="0.35">
      <c r="B77" s="365"/>
      <c r="C77" s="368"/>
      <c r="D77" s="366"/>
      <c r="E77" s="62"/>
    </row>
    <row r="78" spans="2:6" ht="15" thickBot="1" x14ac:dyDescent="0.35"/>
    <row r="79" spans="2:6" ht="18" x14ac:dyDescent="0.35">
      <c r="B79" s="361"/>
      <c r="C79" s="367"/>
      <c r="D79" s="362"/>
      <c r="E79" s="635"/>
    </row>
    <row r="80" spans="2:6" x14ac:dyDescent="0.3">
      <c r="B80" s="363"/>
      <c r="C80" s="374"/>
      <c r="D80" s="364"/>
    </row>
    <row r="81" spans="2:28" ht="15" thickBot="1" x14ac:dyDescent="0.35">
      <c r="B81" s="365"/>
      <c r="C81" s="375"/>
      <c r="D81" s="366"/>
      <c r="E81" s="62"/>
    </row>
    <row r="84" spans="2:28" x14ac:dyDescent="0.3">
      <c r="B84" s="2"/>
    </row>
    <row r="85" spans="2:28" x14ac:dyDescent="0.3">
      <c r="B85" s="325"/>
    </row>
    <row r="86" spans="2:28" x14ac:dyDescent="0.3">
      <c r="B86" s="325"/>
    </row>
    <row r="89" spans="2:28" ht="21" x14ac:dyDescent="0.4">
      <c r="B89" s="563"/>
    </row>
    <row r="90" spans="2:28" ht="15" thickBot="1" x14ac:dyDescent="0.35">
      <c r="B90" s="6"/>
    </row>
    <row r="91" spans="2:28" ht="15" thickBot="1" x14ac:dyDescent="0.35">
      <c r="B91" s="504"/>
      <c r="C91" s="504"/>
      <c r="D91" s="543"/>
    </row>
    <row r="92" spans="2:28" x14ac:dyDescent="0.3">
      <c r="B92" s="292"/>
      <c r="C92" s="513"/>
      <c r="D92" s="544"/>
    </row>
    <row r="93" spans="2:28" x14ac:dyDescent="0.3">
      <c r="B93" s="292"/>
      <c r="C93" s="513"/>
      <c r="D93" s="544"/>
      <c r="F93" s="546"/>
    </row>
    <row r="94" spans="2:28" ht="15" thickBot="1" x14ac:dyDescent="0.35">
      <c r="B94" s="292"/>
      <c r="C94" s="513"/>
      <c r="D94" s="545"/>
      <c r="F94" s="6"/>
      <c r="G94" s="6"/>
      <c r="H94" s="501"/>
    </row>
    <row r="95" spans="2:28" ht="15" thickBot="1" x14ac:dyDescent="0.35">
      <c r="B95" s="288"/>
      <c r="C95" s="514"/>
      <c r="D95" s="647"/>
      <c r="F95" s="511"/>
      <c r="G95" s="512"/>
      <c r="H95" s="512"/>
      <c r="I95" s="512"/>
      <c r="J95" s="512"/>
      <c r="K95" s="512"/>
      <c r="L95" s="512"/>
      <c r="M95" s="512"/>
      <c r="N95" s="512"/>
      <c r="O95" s="512"/>
      <c r="P95" s="512"/>
      <c r="Q95" s="512"/>
      <c r="R95" s="512"/>
      <c r="S95" s="512"/>
      <c r="T95" s="512"/>
      <c r="U95" s="512"/>
      <c r="V95" s="512"/>
      <c r="W95" s="512"/>
      <c r="X95" s="512"/>
      <c r="Y95" s="512"/>
      <c r="Z95" s="512"/>
      <c r="AA95" s="512"/>
      <c r="AB95" s="502"/>
    </row>
    <row r="96" spans="2:28" ht="15" thickBot="1" x14ac:dyDescent="0.35">
      <c r="F96" s="288"/>
      <c r="G96" s="381"/>
      <c r="H96" s="381"/>
      <c r="I96" s="381"/>
      <c r="J96" s="381"/>
      <c r="K96" s="381"/>
      <c r="L96" s="381"/>
      <c r="M96" s="381"/>
      <c r="N96" s="381"/>
      <c r="O96" s="381"/>
      <c r="P96" s="381"/>
      <c r="Q96" s="381"/>
      <c r="R96" s="381"/>
      <c r="S96" s="381"/>
      <c r="T96" s="381"/>
      <c r="U96" s="381"/>
      <c r="V96" s="381"/>
      <c r="W96" s="381"/>
      <c r="X96" s="381"/>
      <c r="Y96" s="381"/>
      <c r="Z96" s="381"/>
      <c r="AA96" s="381"/>
      <c r="AB96" s="542"/>
    </row>
    <row r="98" spans="6:29" x14ac:dyDescent="0.3">
      <c r="F98" s="546"/>
    </row>
    <row r="99" spans="6:29" ht="15" thickBot="1" x14ac:dyDescent="0.35">
      <c r="F99" s="6"/>
      <c r="G99" s="6"/>
      <c r="H99" s="501"/>
      <c r="I99" s="6"/>
      <c r="K99" s="92"/>
    </row>
    <row r="100" spans="6:29" ht="15" thickBot="1" x14ac:dyDescent="0.35">
      <c r="F100" s="504"/>
      <c r="G100" s="504"/>
      <c r="H100" s="509"/>
      <c r="I100" s="509"/>
      <c r="J100" s="509"/>
      <c r="K100" s="509"/>
      <c r="L100" s="509"/>
      <c r="M100" s="509"/>
      <c r="N100" s="509"/>
      <c r="O100" s="509"/>
      <c r="P100" s="509"/>
      <c r="Q100" s="509"/>
      <c r="R100" s="509"/>
      <c r="S100" s="509"/>
      <c r="T100" s="509"/>
      <c r="U100" s="509"/>
      <c r="V100" s="509"/>
      <c r="W100" s="509"/>
      <c r="X100" s="509"/>
      <c r="Y100" s="509"/>
      <c r="Z100" s="509"/>
      <c r="AA100" s="510"/>
      <c r="AB100" s="637"/>
    </row>
    <row r="101" spans="6:29" x14ac:dyDescent="0.3">
      <c r="F101" s="454"/>
      <c r="G101" s="292"/>
      <c r="H101" s="44"/>
      <c r="I101" s="44"/>
      <c r="J101" s="44"/>
      <c r="K101" s="44"/>
      <c r="L101" s="44"/>
      <c r="M101" s="44"/>
      <c r="N101" s="44"/>
      <c r="O101" s="44"/>
      <c r="P101" s="44"/>
      <c r="Q101" s="44"/>
      <c r="R101" s="44"/>
      <c r="S101" s="44"/>
      <c r="T101" s="44"/>
      <c r="U101" s="44"/>
      <c r="V101" s="44"/>
      <c r="W101" s="44"/>
      <c r="X101" s="44"/>
      <c r="Y101" s="44"/>
      <c r="Z101" s="44"/>
      <c r="AA101" s="636"/>
      <c r="AB101" s="497"/>
    </row>
    <row r="102" spans="6:29" ht="15" thickBot="1" x14ac:dyDescent="0.35">
      <c r="F102" s="523"/>
      <c r="G102" s="288"/>
      <c r="H102" s="381"/>
      <c r="I102" s="381"/>
      <c r="J102" s="381"/>
      <c r="K102" s="381"/>
      <c r="L102" s="381"/>
      <c r="M102" s="381"/>
      <c r="N102" s="381"/>
      <c r="O102" s="381"/>
      <c r="P102" s="381"/>
      <c r="Q102" s="381"/>
      <c r="R102" s="381"/>
      <c r="S102" s="381"/>
      <c r="T102" s="381"/>
      <c r="U102" s="381"/>
      <c r="V102" s="381"/>
      <c r="W102" s="381"/>
      <c r="X102" s="381"/>
      <c r="Y102" s="381"/>
      <c r="Z102" s="381"/>
      <c r="AA102" s="350"/>
      <c r="AB102" s="2"/>
    </row>
    <row r="104" spans="6:29" ht="15" thickBot="1" x14ac:dyDescent="0.35">
      <c r="F104" s="6"/>
    </row>
    <row r="105" spans="6:29" x14ac:dyDescent="0.3">
      <c r="F105" s="524"/>
      <c r="G105" s="534"/>
      <c r="H105" s="505"/>
      <c r="I105" s="505"/>
      <c r="J105" s="505"/>
      <c r="K105" s="505"/>
      <c r="L105" s="505"/>
      <c r="M105" s="505"/>
      <c r="N105" s="505"/>
      <c r="O105" s="505"/>
      <c r="P105" s="505"/>
      <c r="Q105" s="505"/>
      <c r="R105" s="505"/>
      <c r="S105" s="505"/>
      <c r="T105" s="505"/>
      <c r="U105" s="505"/>
      <c r="V105" s="505"/>
      <c r="W105" s="505"/>
      <c r="X105" s="505"/>
      <c r="Y105" s="505"/>
      <c r="Z105" s="502"/>
      <c r="AA105" s="505"/>
      <c r="AC105" s="92"/>
    </row>
    <row r="106" spans="6:29" x14ac:dyDescent="0.3">
      <c r="F106" s="292"/>
      <c r="G106" s="70"/>
      <c r="H106" s="44"/>
      <c r="I106" s="506"/>
      <c r="J106" s="506"/>
      <c r="K106" s="506"/>
      <c r="L106" s="506"/>
      <c r="M106" s="506"/>
      <c r="N106" s="506"/>
      <c r="O106" s="506"/>
      <c r="P106" s="506"/>
      <c r="Q106" s="506"/>
      <c r="R106" s="506"/>
      <c r="S106" s="506"/>
      <c r="T106" s="506"/>
      <c r="U106" s="506"/>
      <c r="V106" s="506"/>
      <c r="W106" s="506"/>
      <c r="X106" s="506"/>
      <c r="Y106" s="506"/>
      <c r="Z106" s="525"/>
      <c r="AA106" s="506"/>
    </row>
    <row r="107" spans="6:29" x14ac:dyDescent="0.3">
      <c r="F107" s="351"/>
      <c r="G107" s="535"/>
      <c r="H107" s="526"/>
      <c r="I107" s="526"/>
      <c r="J107" s="526"/>
      <c r="K107" s="526"/>
      <c r="L107" s="526"/>
      <c r="M107" s="526"/>
      <c r="N107" s="526"/>
      <c r="O107" s="526"/>
      <c r="P107" s="526"/>
      <c r="Q107" s="526"/>
      <c r="R107" s="526"/>
      <c r="S107" s="526"/>
      <c r="T107" s="526"/>
      <c r="U107" s="526"/>
      <c r="V107" s="526"/>
      <c r="W107" s="526"/>
      <c r="X107" s="526"/>
      <c r="Y107" s="526"/>
      <c r="Z107" s="527"/>
      <c r="AA107" s="526"/>
    </row>
    <row r="108" spans="6:29" x14ac:dyDescent="0.3">
      <c r="F108" s="528"/>
      <c r="G108" s="536"/>
      <c r="H108" s="529"/>
      <c r="I108" s="529"/>
      <c r="J108" s="529"/>
      <c r="K108" s="529"/>
      <c r="L108" s="529"/>
      <c r="M108" s="529"/>
      <c r="N108" s="529"/>
      <c r="O108" s="529"/>
      <c r="P108" s="529"/>
      <c r="Q108" s="529"/>
      <c r="R108" s="529"/>
      <c r="S108" s="529"/>
      <c r="T108" s="529"/>
      <c r="U108" s="529"/>
      <c r="V108" s="529"/>
      <c r="W108" s="529"/>
      <c r="X108" s="529"/>
      <c r="Y108" s="529"/>
      <c r="Z108" s="530"/>
      <c r="AA108" s="529"/>
    </row>
    <row r="109" spans="6:29" ht="15" thickBot="1" x14ac:dyDescent="0.35">
      <c r="F109" s="531"/>
      <c r="G109" s="537"/>
      <c r="H109" s="532"/>
      <c r="I109" s="532"/>
      <c r="J109" s="532"/>
      <c r="K109" s="532"/>
      <c r="L109" s="532"/>
      <c r="M109" s="532"/>
      <c r="N109" s="532"/>
      <c r="O109" s="532"/>
      <c r="P109" s="532"/>
      <c r="Q109" s="532"/>
      <c r="R109" s="532"/>
      <c r="S109" s="532"/>
      <c r="T109" s="532"/>
      <c r="U109" s="532"/>
      <c r="V109" s="532"/>
      <c r="W109" s="532"/>
      <c r="X109" s="532"/>
      <c r="Y109" s="532"/>
      <c r="Z109" s="533"/>
      <c r="AA109" s="532"/>
    </row>
    <row r="110" spans="6:29" ht="15" thickBot="1" x14ac:dyDescent="0.35">
      <c r="AA110" s="62"/>
    </row>
    <row r="111" spans="6:29" ht="15" thickBot="1" x14ac:dyDescent="0.35">
      <c r="F111" s="538"/>
      <c r="G111" s="540"/>
      <c r="H111" s="540"/>
      <c r="I111" s="540"/>
      <c r="J111" s="540"/>
      <c r="K111" s="540"/>
      <c r="L111" s="540"/>
      <c r="M111" s="540"/>
      <c r="N111" s="540"/>
      <c r="O111" s="540"/>
      <c r="P111" s="540"/>
      <c r="Q111" s="540"/>
      <c r="R111" s="540"/>
      <c r="S111" s="540"/>
      <c r="T111" s="540"/>
      <c r="U111" s="540"/>
      <c r="V111" s="540"/>
      <c r="W111" s="540"/>
      <c r="X111" s="540"/>
      <c r="Y111" s="540"/>
      <c r="Z111" s="540"/>
      <c r="AA111" s="540"/>
    </row>
    <row r="112" spans="6:29" ht="15" thickBot="1" x14ac:dyDescent="0.35">
      <c r="AA112" s="62"/>
    </row>
    <row r="113" spans="1:45" x14ac:dyDescent="0.3">
      <c r="F113" s="511"/>
      <c r="G113" s="512"/>
      <c r="H113" s="519"/>
      <c r="I113" s="517"/>
      <c r="J113" s="518"/>
      <c r="AA113" s="62"/>
    </row>
    <row r="114" spans="1:45" ht="15" thickBot="1" x14ac:dyDescent="0.35">
      <c r="F114" s="507"/>
      <c r="G114" s="381"/>
      <c r="H114" s="520"/>
      <c r="I114" s="381"/>
      <c r="J114" s="515"/>
      <c r="AA114" s="62"/>
    </row>
    <row r="115" spans="1:45" x14ac:dyDescent="0.3">
      <c r="AA115" s="62"/>
    </row>
    <row r="116" spans="1:45" x14ac:dyDescent="0.3">
      <c r="AA116" s="62"/>
    </row>
    <row r="117" spans="1:45" x14ac:dyDescent="0.3">
      <c r="F117" s="6"/>
    </row>
    <row r="119" spans="1:45" ht="21" x14ac:dyDescent="0.4">
      <c r="B119" s="563"/>
    </row>
    <row r="120" spans="1:45" ht="15" thickBot="1" x14ac:dyDescent="0.35">
      <c r="C120" s="92"/>
    </row>
    <row r="121" spans="1:45" ht="15" thickBot="1" x14ac:dyDescent="0.35">
      <c r="B121" s="547"/>
      <c r="C121" s="564"/>
      <c r="F121" s="504"/>
      <c r="G121" s="509"/>
      <c r="H121" s="510"/>
      <c r="I121" s="504"/>
      <c r="J121" s="509"/>
      <c r="K121" s="510"/>
      <c r="L121" s="504"/>
      <c r="M121" s="509"/>
      <c r="N121" s="510"/>
      <c r="O121" s="504"/>
      <c r="P121" s="509"/>
      <c r="Q121" s="510"/>
      <c r="R121" s="504"/>
      <c r="S121" s="509"/>
      <c r="T121" s="510"/>
      <c r="U121" s="504"/>
      <c r="V121" s="509"/>
      <c r="W121" s="510"/>
      <c r="X121" s="504"/>
      <c r="Y121" s="504"/>
      <c r="Z121" s="510"/>
      <c r="AA121" s="504"/>
      <c r="AB121" s="510"/>
    </row>
    <row r="122" spans="1:45" ht="15" thickBot="1" x14ac:dyDescent="0.35">
      <c r="F122" s="288"/>
      <c r="G122" s="381"/>
      <c r="H122" s="381"/>
      <c r="I122" s="381"/>
      <c r="J122" s="381"/>
      <c r="K122" s="381"/>
      <c r="L122" s="381"/>
      <c r="M122" s="381"/>
      <c r="N122" s="381"/>
      <c r="O122" s="381"/>
      <c r="P122" s="381"/>
      <c r="Q122" s="381"/>
      <c r="R122" s="381"/>
      <c r="S122" s="381"/>
      <c r="T122" s="381"/>
      <c r="U122" s="381"/>
      <c r="V122" s="381"/>
      <c r="W122" s="381"/>
      <c r="X122" s="381"/>
      <c r="Y122" s="381"/>
      <c r="Z122" s="350"/>
      <c r="AA122" s="381"/>
      <c r="AB122" s="350"/>
    </row>
    <row r="123" spans="1:45" ht="15" thickBot="1" x14ac:dyDescent="0.35">
      <c r="B123" s="92"/>
    </row>
    <row r="124" spans="1:45" s="6" customFormat="1" ht="15" thickBot="1" x14ac:dyDescent="0.35">
      <c r="A124" s="846"/>
      <c r="F124" s="550"/>
      <c r="G124" s="516"/>
      <c r="H124" s="516"/>
      <c r="I124" s="516"/>
      <c r="J124" s="516"/>
      <c r="K124" s="516"/>
      <c r="L124" s="516"/>
      <c r="M124" s="516"/>
      <c r="N124" s="516"/>
      <c r="O124" s="516"/>
      <c r="P124" s="516"/>
      <c r="Q124" s="518"/>
      <c r="AC124" s="504"/>
      <c r="AD124" s="465"/>
      <c r="AE124" s="465"/>
      <c r="AF124" s="465"/>
      <c r="AG124" s="465"/>
      <c r="AH124" s="465"/>
      <c r="AI124" s="465"/>
      <c r="AJ124" s="465"/>
      <c r="AK124" s="465"/>
      <c r="AL124" s="465"/>
      <c r="AM124" s="465"/>
      <c r="AN124" s="465"/>
      <c r="AO124" s="465"/>
      <c r="AP124" s="465"/>
      <c r="AQ124" s="465"/>
      <c r="AR124" s="465"/>
      <c r="AS124" s="465"/>
    </row>
    <row r="125" spans="1:45" ht="15" thickBot="1" x14ac:dyDescent="0.35">
      <c r="F125" s="292"/>
      <c r="G125" s="44"/>
      <c r="H125" s="44"/>
      <c r="I125" s="44"/>
      <c r="J125" s="44"/>
      <c r="K125" s="44"/>
      <c r="L125" s="44"/>
      <c r="M125" s="44"/>
      <c r="N125" s="44"/>
      <c r="O125" s="44"/>
      <c r="P125" s="44"/>
      <c r="Q125" s="349"/>
      <c r="AC125" s="381"/>
    </row>
    <row r="126" spans="1:45" ht="15" thickBot="1" x14ac:dyDescent="0.35">
      <c r="F126" s="531"/>
      <c r="G126" s="381"/>
      <c r="H126" s="548"/>
      <c r="I126" s="548"/>
      <c r="J126" s="381"/>
      <c r="K126" s="548"/>
      <c r="L126" s="548"/>
      <c r="M126" s="381"/>
      <c r="N126" s="548"/>
      <c r="O126" s="548"/>
      <c r="P126" s="381"/>
      <c r="Q126" s="549"/>
    </row>
    <row r="127" spans="1:45" ht="15" thickBot="1" x14ac:dyDescent="0.35">
      <c r="F127" s="541"/>
      <c r="G127" s="539"/>
      <c r="H127" s="539"/>
      <c r="I127" s="539"/>
      <c r="J127" s="539"/>
      <c r="K127" s="539"/>
      <c r="L127" s="539"/>
      <c r="M127" s="539"/>
      <c r="N127" s="539"/>
      <c r="O127" s="539"/>
      <c r="P127" s="539"/>
      <c r="Q127" s="503"/>
      <c r="AC127" s="6"/>
      <c r="AD127" s="6"/>
      <c r="AE127" s="6"/>
      <c r="AF127" s="6"/>
      <c r="AG127" s="6"/>
      <c r="AH127" s="6"/>
      <c r="AI127" s="6"/>
      <c r="AJ127" s="6"/>
      <c r="AK127" s="6"/>
      <c r="AL127" s="6"/>
      <c r="AM127" s="6"/>
      <c r="AN127" s="6"/>
      <c r="AO127" s="6"/>
      <c r="AP127" s="6"/>
      <c r="AQ127" s="6"/>
      <c r="AR127" s="6"/>
      <c r="AS127" s="6"/>
    </row>
    <row r="130" spans="2:26" ht="15" thickBot="1" x14ac:dyDescent="0.35"/>
    <row r="131" spans="2:26" x14ac:dyDescent="0.3">
      <c r="B131" s="6"/>
      <c r="F131" s="552"/>
      <c r="G131" s="379"/>
      <c r="H131" s="379"/>
      <c r="I131" s="379"/>
      <c r="J131" s="379"/>
      <c r="K131" s="379"/>
      <c r="L131" s="379"/>
      <c r="M131" s="379"/>
      <c r="N131" s="379"/>
      <c r="O131" s="379"/>
      <c r="P131" s="379"/>
      <c r="Q131" s="379"/>
      <c r="R131" s="379"/>
      <c r="S131" s="379"/>
      <c r="T131" s="379"/>
      <c r="U131" s="379"/>
      <c r="V131" s="379"/>
      <c r="W131" s="379"/>
      <c r="X131" s="379"/>
      <c r="Y131" s="379"/>
      <c r="Z131" s="638"/>
    </row>
    <row r="132" spans="2:26" x14ac:dyDescent="0.3">
      <c r="F132" s="551"/>
      <c r="G132" s="61"/>
      <c r="H132" s="61"/>
      <c r="I132" s="61"/>
      <c r="J132" s="551"/>
      <c r="K132" s="61"/>
      <c r="L132" s="61"/>
      <c r="M132" s="61"/>
      <c r="N132" s="551"/>
      <c r="O132" s="61"/>
      <c r="P132" s="61"/>
      <c r="Q132" s="61"/>
      <c r="R132" s="551"/>
      <c r="S132" s="61"/>
      <c r="T132" s="61"/>
      <c r="U132" s="61"/>
      <c r="V132" s="551"/>
      <c r="W132" s="61"/>
      <c r="X132" s="61"/>
      <c r="Y132" s="61"/>
      <c r="Z132" s="639"/>
    </row>
    <row r="133" spans="2:26" x14ac:dyDescent="0.3">
      <c r="F133" s="556"/>
      <c r="G133" s="557"/>
      <c r="H133" s="557"/>
      <c r="I133" s="557"/>
      <c r="J133" s="557"/>
      <c r="K133" s="557"/>
      <c r="L133" s="557"/>
      <c r="M133" s="557"/>
      <c r="N133" s="557"/>
      <c r="O133" s="557"/>
      <c r="P133" s="557"/>
      <c r="Q133" s="557"/>
      <c r="R133" s="557"/>
      <c r="S133" s="557"/>
      <c r="T133" s="557"/>
      <c r="U133" s="557"/>
      <c r="V133" s="557"/>
      <c r="W133" s="557"/>
      <c r="X133" s="557"/>
      <c r="Y133" s="557"/>
      <c r="Z133" s="640"/>
    </row>
    <row r="134" spans="2:26" x14ac:dyDescent="0.3">
      <c r="F134" s="551"/>
      <c r="G134" s="61"/>
      <c r="H134" s="61"/>
      <c r="I134" s="61"/>
      <c r="J134" s="61"/>
      <c r="K134" s="61"/>
      <c r="L134" s="61"/>
      <c r="M134" s="61"/>
      <c r="N134" s="61"/>
      <c r="O134" s="61"/>
      <c r="P134" s="61"/>
      <c r="Q134" s="61"/>
      <c r="R134" s="61"/>
      <c r="S134" s="61"/>
      <c r="T134" s="61"/>
      <c r="U134" s="61"/>
      <c r="V134" s="61"/>
      <c r="W134" s="61"/>
      <c r="X134" s="61"/>
      <c r="Y134" s="61"/>
      <c r="Z134" s="639"/>
    </row>
    <row r="135" spans="2:26" x14ac:dyDescent="0.3">
      <c r="F135" s="554"/>
      <c r="G135" s="17"/>
      <c r="H135" s="17"/>
      <c r="I135" s="17"/>
      <c r="J135" s="17"/>
      <c r="K135" s="17"/>
      <c r="L135" s="17"/>
      <c r="M135" s="17"/>
      <c r="N135" s="17"/>
      <c r="O135" s="17"/>
      <c r="P135" s="17"/>
      <c r="Q135" s="17"/>
      <c r="R135" s="17"/>
      <c r="S135" s="17"/>
      <c r="T135" s="17"/>
      <c r="U135" s="17"/>
      <c r="V135" s="17"/>
      <c r="W135" s="17"/>
      <c r="X135" s="17"/>
      <c r="Y135" s="17"/>
      <c r="Z135" s="641"/>
    </row>
    <row r="136" spans="2:26" ht="15" thickBot="1" x14ac:dyDescent="0.35">
      <c r="F136" s="558"/>
      <c r="G136" s="559"/>
      <c r="H136" s="559"/>
      <c r="I136" s="559"/>
      <c r="J136" s="559"/>
      <c r="K136" s="559"/>
      <c r="L136" s="559"/>
      <c r="M136" s="559"/>
      <c r="N136" s="559"/>
      <c r="O136" s="559"/>
      <c r="P136" s="559"/>
      <c r="Q136" s="559"/>
      <c r="R136" s="559"/>
      <c r="S136" s="559"/>
      <c r="T136" s="559"/>
      <c r="U136" s="559"/>
      <c r="V136" s="559"/>
      <c r="W136" s="559"/>
      <c r="X136" s="559"/>
      <c r="Y136" s="559"/>
      <c r="Z136" s="642"/>
    </row>
    <row r="138" spans="2:26" ht="15" thickBot="1" x14ac:dyDescent="0.35"/>
    <row r="139" spans="2:26" x14ac:dyDescent="0.3">
      <c r="F139" s="552"/>
      <c r="G139" s="379"/>
      <c r="H139" s="379"/>
      <c r="I139" s="379"/>
      <c r="J139" s="379"/>
      <c r="K139" s="379"/>
      <c r="L139" s="379"/>
      <c r="M139" s="379"/>
      <c r="N139" s="379"/>
      <c r="O139" s="379"/>
      <c r="P139" s="379"/>
      <c r="Q139" s="379"/>
      <c r="R139" s="379"/>
      <c r="S139" s="379"/>
      <c r="T139" s="379"/>
      <c r="U139" s="379"/>
      <c r="V139" s="379"/>
      <c r="W139" s="379"/>
      <c r="X139" s="379"/>
      <c r="Y139" s="553"/>
      <c r="Z139" s="638"/>
    </row>
    <row r="140" spans="2:26" x14ac:dyDescent="0.3">
      <c r="F140" s="292"/>
      <c r="G140" s="44"/>
      <c r="H140" s="44"/>
      <c r="I140" s="44"/>
      <c r="J140" s="44"/>
      <c r="K140" s="44"/>
      <c r="L140" s="44"/>
      <c r="M140" s="44"/>
      <c r="N140" s="44"/>
      <c r="O140" s="44"/>
      <c r="P140" s="44"/>
      <c r="Q140" s="44"/>
      <c r="R140" s="44"/>
      <c r="S140" s="44"/>
      <c r="T140" s="44"/>
      <c r="U140" s="44"/>
      <c r="V140" s="44"/>
      <c r="W140" s="44"/>
      <c r="X140" s="44"/>
      <c r="Y140" s="349"/>
      <c r="Z140" s="544"/>
    </row>
    <row r="141" spans="2:26" ht="15" thickBot="1" x14ac:dyDescent="0.35">
      <c r="F141" s="507"/>
      <c r="G141" s="508"/>
      <c r="H141" s="508"/>
      <c r="I141" s="508"/>
      <c r="J141" s="508"/>
      <c r="K141" s="508"/>
      <c r="L141" s="508"/>
      <c r="M141" s="508"/>
      <c r="N141" s="508"/>
      <c r="O141" s="508"/>
      <c r="P141" s="508"/>
      <c r="Q141" s="508"/>
      <c r="R141" s="508"/>
      <c r="S141" s="508"/>
      <c r="T141" s="508"/>
      <c r="U141" s="508"/>
      <c r="V141" s="508"/>
      <c r="W141" s="508"/>
      <c r="X141" s="508"/>
      <c r="Y141" s="555"/>
      <c r="Z141" s="643"/>
    </row>
    <row r="146" spans="2:45" ht="15" thickBot="1" x14ac:dyDescent="0.35"/>
    <row r="147" spans="2:45" ht="15" thickBot="1" x14ac:dyDescent="0.35">
      <c r="C147" s="22"/>
      <c r="V147" s="644"/>
      <c r="W147" s="645"/>
      <c r="X147" s="646"/>
    </row>
    <row r="159" spans="2:45" s="563" customFormat="1" ht="21" x14ac:dyDescent="0.4">
      <c r="AC159" s="465"/>
      <c r="AD159" s="465"/>
      <c r="AE159" s="465"/>
      <c r="AF159" s="465"/>
      <c r="AG159" s="465"/>
      <c r="AH159" s="465"/>
      <c r="AI159" s="465"/>
      <c r="AJ159" s="465"/>
      <c r="AK159" s="465"/>
      <c r="AL159" s="465"/>
      <c r="AM159" s="465"/>
      <c r="AN159" s="465"/>
      <c r="AO159" s="465"/>
      <c r="AP159" s="465"/>
      <c r="AQ159" s="465"/>
      <c r="AR159" s="465"/>
      <c r="AS159" s="465"/>
    </row>
    <row r="160" spans="2:45" ht="18" x14ac:dyDescent="0.35">
      <c r="B160" s="201"/>
    </row>
    <row r="161" spans="3:45" x14ac:dyDescent="0.3">
      <c r="C161" s="6"/>
      <c r="D161" s="6"/>
      <c r="E161" s="6"/>
      <c r="F161" s="6"/>
    </row>
    <row r="162" spans="3:45" ht="21" x14ac:dyDescent="0.4">
      <c r="C162" s="62"/>
      <c r="D162" s="62"/>
      <c r="E162" s="586"/>
      <c r="AC162" s="563"/>
      <c r="AD162" s="563"/>
      <c r="AE162" s="563"/>
      <c r="AF162" s="563"/>
      <c r="AG162" s="563"/>
      <c r="AH162" s="563"/>
      <c r="AI162" s="563"/>
      <c r="AJ162" s="563"/>
      <c r="AK162" s="563"/>
      <c r="AL162" s="563"/>
      <c r="AM162" s="563"/>
      <c r="AN162" s="563"/>
      <c r="AO162" s="563"/>
      <c r="AP162" s="563"/>
      <c r="AQ162" s="563"/>
      <c r="AR162" s="563"/>
      <c r="AS162" s="563"/>
    </row>
    <row r="163" spans="3:45" ht="15" thickBot="1" x14ac:dyDescent="0.35">
      <c r="C163" s="62"/>
      <c r="D163" s="62"/>
      <c r="E163" s="586"/>
    </row>
    <row r="164" spans="3:45" x14ac:dyDescent="0.3">
      <c r="C164" s="62"/>
      <c r="D164" s="62"/>
      <c r="E164" s="586"/>
      <c r="F164" s="619"/>
      <c r="G164" s="620"/>
      <c r="H164" s="620"/>
      <c r="I164" s="620"/>
      <c r="J164" s="620"/>
      <c r="K164" s="620"/>
      <c r="L164" s="620"/>
      <c r="M164" s="620"/>
      <c r="N164" s="620"/>
      <c r="O164" s="620"/>
      <c r="P164" s="620"/>
      <c r="Q164" s="620"/>
      <c r="R164" s="620"/>
      <c r="S164" s="620"/>
      <c r="T164" s="620"/>
      <c r="U164" s="620"/>
      <c r="V164" s="620"/>
      <c r="W164" s="620"/>
      <c r="X164" s="620"/>
      <c r="Y164" s="621"/>
    </row>
    <row r="165" spans="3:45" x14ac:dyDescent="0.3">
      <c r="F165" s="292"/>
      <c r="G165" s="44"/>
      <c r="H165" s="44"/>
      <c r="I165" s="44"/>
      <c r="J165" s="44"/>
      <c r="K165" s="44"/>
      <c r="L165" s="44"/>
      <c r="M165" s="44"/>
      <c r="N165" s="44"/>
      <c r="O165" s="44"/>
      <c r="P165" s="44"/>
      <c r="Q165" s="44"/>
      <c r="R165" s="44"/>
      <c r="S165" s="44"/>
      <c r="T165" s="44"/>
      <c r="U165" s="44"/>
      <c r="V165" s="44"/>
      <c r="W165" s="44"/>
      <c r="X165" s="44"/>
      <c r="Y165" s="349"/>
    </row>
    <row r="166" spans="3:45" ht="15" thickBot="1" x14ac:dyDescent="0.35">
      <c r="F166" s="288"/>
      <c r="G166" s="381"/>
      <c r="H166" s="381"/>
      <c r="I166" s="381"/>
      <c r="J166" s="381"/>
      <c r="K166" s="381"/>
      <c r="L166" s="381"/>
      <c r="M166" s="381"/>
      <c r="N166" s="381"/>
      <c r="O166" s="381"/>
      <c r="P166" s="381"/>
      <c r="Q166" s="381"/>
      <c r="R166" s="381"/>
      <c r="S166" s="381"/>
      <c r="T166" s="381"/>
      <c r="U166" s="381"/>
      <c r="V166" s="381"/>
      <c r="W166" s="381"/>
      <c r="X166" s="381"/>
      <c r="Y166" s="350"/>
    </row>
    <row r="172" spans="3:45" x14ac:dyDescent="0.3">
      <c r="H172" s="565"/>
    </row>
    <row r="175" spans="3:45" x14ac:dyDescent="0.3">
      <c r="H175" s="565"/>
    </row>
  </sheetData>
  <mergeCells count="3">
    <mergeCell ref="B30:H30"/>
    <mergeCell ref="B39:N39"/>
    <mergeCell ref="B2:K2"/>
  </mergeCells>
  <hyperlinks>
    <hyperlink ref="B37" r:id="rId1" xr:uid="{A198BA44-E9FA-4F0B-B427-8857DD57F755}"/>
    <hyperlink ref="B38" r:id="rId2" xr:uid="{B442EBC5-1EA2-46AC-B1CF-A025AD35043E}"/>
  </hyperlinks>
  <pageMargins left="0.7" right="0.7" top="0.75" bottom="0.75" header="0.3" footer="0.3"/>
  <pageSetup orientation="portrait" horizontalDpi="4294967293" verticalDpi="4294967293"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C990D-81D0-4932-84C6-427CD75EFB34}">
  <dimension ref="A1:A3"/>
  <sheetViews>
    <sheetView topLeftCell="A25" workbookViewId="0">
      <selection activeCell="K26" sqref="K25:K26"/>
    </sheetView>
  </sheetViews>
  <sheetFormatPr defaultRowHeight="14.4" x14ac:dyDescent="0.3"/>
  <sheetData>
    <row r="1" spans="1:1" x14ac:dyDescent="0.3">
      <c r="A1" t="s">
        <v>573</v>
      </c>
    </row>
    <row r="3" spans="1:1" x14ac:dyDescent="0.3">
      <c r="A3" t="s">
        <v>574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C8F5B-21BD-41D9-BBFA-CB46E42E4281}">
  <dimension ref="A1:W71"/>
  <sheetViews>
    <sheetView workbookViewId="0">
      <selection activeCell="A3" sqref="A3"/>
    </sheetView>
  </sheetViews>
  <sheetFormatPr defaultRowHeight="14.4" x14ac:dyDescent="0.3"/>
  <cols>
    <col min="1" max="1" width="24" customWidth="1"/>
  </cols>
  <sheetData>
    <row r="1" spans="1:23" s="843" customFormat="1" ht="36.6" customHeight="1" x14ac:dyDescent="0.4">
      <c r="A1" s="563" t="s">
        <v>945</v>
      </c>
    </row>
    <row r="2" spans="1:23" ht="15" thickBot="1" x14ac:dyDescent="0.35">
      <c r="A2" s="988" t="s">
        <v>882</v>
      </c>
      <c r="B2" s="988"/>
    </row>
    <row r="3" spans="1:23" s="465" customFormat="1" x14ac:dyDescent="0.3">
      <c r="A3" s="758" t="s">
        <v>897</v>
      </c>
      <c r="B3" s="758"/>
    </row>
    <row r="4" spans="1:23" x14ac:dyDescent="0.3">
      <c r="A4" s="465" t="s">
        <v>884</v>
      </c>
    </row>
    <row r="5" spans="1:23" s="754" customFormat="1" ht="15" thickBot="1" x14ac:dyDescent="0.35">
      <c r="A5" s="756"/>
      <c r="B5" s="753" t="s">
        <v>0</v>
      </c>
      <c r="C5" s="753" t="s">
        <v>1</v>
      </c>
      <c r="D5" s="753" t="s">
        <v>2</v>
      </c>
      <c r="E5" s="753" t="s">
        <v>3</v>
      </c>
      <c r="F5" s="753" t="s">
        <v>4</v>
      </c>
      <c r="G5" s="753" t="s">
        <v>5</v>
      </c>
      <c r="H5" s="753" t="s">
        <v>6</v>
      </c>
      <c r="I5" s="753" t="s">
        <v>7</v>
      </c>
      <c r="J5" s="753" t="s">
        <v>8</v>
      </c>
      <c r="K5" s="753" t="s">
        <v>9</v>
      </c>
      <c r="L5" s="753" t="s">
        <v>10</v>
      </c>
      <c r="M5" s="753" t="s">
        <v>11</v>
      </c>
      <c r="N5" s="753" t="s">
        <v>12</v>
      </c>
      <c r="O5" s="753" t="s">
        <v>13</v>
      </c>
      <c r="P5" s="753" t="s">
        <v>14</v>
      </c>
      <c r="Q5" s="753" t="s">
        <v>15</v>
      </c>
      <c r="R5" s="753" t="s">
        <v>16</v>
      </c>
      <c r="S5" s="753" t="s">
        <v>17</v>
      </c>
      <c r="T5" s="753" t="s">
        <v>18</v>
      </c>
      <c r="U5" s="753">
        <v>2017</v>
      </c>
      <c r="V5" s="753">
        <v>2018</v>
      </c>
    </row>
    <row r="6" spans="1:23" x14ac:dyDescent="0.3">
      <c r="A6" t="s">
        <v>884</v>
      </c>
    </row>
    <row r="7" spans="1:23" s="80" customFormat="1" x14ac:dyDescent="0.3">
      <c r="A7" s="80" t="s">
        <v>381</v>
      </c>
      <c r="B7" s="80">
        <v>1159</v>
      </c>
      <c r="C7" s="80">
        <v>1154</v>
      </c>
      <c r="D7" s="80">
        <v>1122</v>
      </c>
      <c r="E7" s="80">
        <v>1213</v>
      </c>
      <c r="F7" s="80">
        <v>1272</v>
      </c>
      <c r="G7" s="80">
        <v>1258</v>
      </c>
      <c r="H7" s="80">
        <v>1092</v>
      </c>
      <c r="I7" s="80">
        <v>1328</v>
      </c>
      <c r="J7" s="80">
        <v>1681</v>
      </c>
      <c r="K7" s="80">
        <v>1368</v>
      </c>
      <c r="L7" s="80">
        <v>1446</v>
      </c>
      <c r="M7" s="80">
        <v>1266</v>
      </c>
      <c r="N7" s="80">
        <v>1452</v>
      </c>
      <c r="O7" s="80">
        <v>1701</v>
      </c>
      <c r="P7" s="80">
        <v>1547</v>
      </c>
      <c r="Q7" s="80">
        <v>1614</v>
      </c>
      <c r="R7" s="80">
        <v>1623</v>
      </c>
      <c r="S7" s="80">
        <v>1536</v>
      </c>
      <c r="T7" s="80">
        <v>1776</v>
      </c>
      <c r="U7" s="80">
        <v>1766</v>
      </c>
      <c r="V7" s="80">
        <v>1903</v>
      </c>
      <c r="W7" s="80" t="e">
        <f>V9+V10+V11+V12+V14+V19+V23+V24+V26+#REF!+V29+V30+V31</f>
        <v>#REF!</v>
      </c>
    </row>
    <row r="8" spans="1:23" s="80" customFormat="1" x14ac:dyDescent="0.3">
      <c r="A8" s="80" t="s">
        <v>370</v>
      </c>
      <c r="B8" s="80">
        <v>8272</v>
      </c>
      <c r="C8" s="80">
        <v>8993</v>
      </c>
      <c r="D8" s="80">
        <v>9934</v>
      </c>
      <c r="E8" s="80">
        <v>9622</v>
      </c>
      <c r="F8" s="80">
        <v>10212</v>
      </c>
      <c r="G8" s="80">
        <v>11188</v>
      </c>
      <c r="H8" s="80">
        <v>10527</v>
      </c>
      <c r="I8" s="80">
        <v>11478</v>
      </c>
      <c r="J8" s="80">
        <v>13492</v>
      </c>
      <c r="K8" s="80">
        <v>12135</v>
      </c>
      <c r="L8" s="80">
        <v>13521</v>
      </c>
      <c r="M8" s="80">
        <v>10912</v>
      </c>
      <c r="N8" s="80">
        <v>13504</v>
      </c>
      <c r="O8" s="80">
        <v>16279</v>
      </c>
      <c r="P8" s="80">
        <v>14630</v>
      </c>
      <c r="Q8" s="80">
        <v>14196</v>
      </c>
      <c r="R8" s="80">
        <v>12942</v>
      </c>
      <c r="S8" s="80">
        <v>11686</v>
      </c>
      <c r="T8" s="80">
        <v>11732</v>
      </c>
      <c r="U8" s="80">
        <v>14032</v>
      </c>
      <c r="V8" s="80">
        <v>14539</v>
      </c>
      <c r="W8" s="755" t="e">
        <f>W7/V34</f>
        <v>#REF!</v>
      </c>
    </row>
    <row r="9" spans="1:23" s="80" customFormat="1" x14ac:dyDescent="0.3">
      <c r="A9" s="80" t="s">
        <v>372</v>
      </c>
      <c r="B9" s="80">
        <v>2125</v>
      </c>
      <c r="C9" s="80">
        <v>2092</v>
      </c>
      <c r="D9" s="80">
        <v>2331</v>
      </c>
      <c r="E9" s="80">
        <v>2319</v>
      </c>
      <c r="F9" s="80">
        <v>2788</v>
      </c>
      <c r="G9" s="80">
        <v>2248</v>
      </c>
      <c r="H9" s="80">
        <v>2068</v>
      </c>
      <c r="I9" s="80">
        <v>2344</v>
      </c>
      <c r="J9" s="80">
        <v>3902</v>
      </c>
      <c r="K9" s="80">
        <v>2236</v>
      </c>
      <c r="L9" s="80">
        <v>2654</v>
      </c>
      <c r="M9" s="80">
        <v>2517</v>
      </c>
      <c r="N9" s="80">
        <v>2818</v>
      </c>
      <c r="O9" s="80">
        <v>3149</v>
      </c>
      <c r="P9" s="80">
        <v>2940</v>
      </c>
      <c r="Q9" s="80">
        <v>3051</v>
      </c>
      <c r="R9" s="80">
        <v>2879</v>
      </c>
      <c r="S9" s="80">
        <v>2332</v>
      </c>
      <c r="T9" s="80">
        <v>2485</v>
      </c>
      <c r="U9" s="80">
        <v>2644</v>
      </c>
      <c r="V9" s="80">
        <v>2664</v>
      </c>
    </row>
    <row r="10" spans="1:23" s="80" customFormat="1" x14ac:dyDescent="0.3">
      <c r="A10" s="80" t="s">
        <v>378</v>
      </c>
      <c r="B10" s="80">
        <v>1443</v>
      </c>
      <c r="C10" s="80">
        <v>1360</v>
      </c>
      <c r="D10" s="80">
        <v>1427</v>
      </c>
      <c r="E10" s="80">
        <v>1596</v>
      </c>
      <c r="F10" s="80">
        <v>1437</v>
      </c>
      <c r="G10" s="80">
        <v>1511</v>
      </c>
      <c r="H10" s="80">
        <v>1371</v>
      </c>
      <c r="I10" s="80">
        <v>1511</v>
      </c>
      <c r="J10" s="80">
        <v>1829</v>
      </c>
      <c r="K10" s="80">
        <v>1988</v>
      </c>
      <c r="L10" s="80">
        <v>1917</v>
      </c>
      <c r="M10" s="80">
        <v>1327</v>
      </c>
      <c r="N10" s="80">
        <v>1518</v>
      </c>
      <c r="O10" s="80">
        <v>1698</v>
      </c>
      <c r="P10" s="80">
        <v>1554</v>
      </c>
      <c r="Q10" s="80">
        <v>1552</v>
      </c>
      <c r="R10" s="80">
        <v>1610</v>
      </c>
      <c r="S10" s="80">
        <v>1327</v>
      </c>
      <c r="T10" s="80">
        <v>1305</v>
      </c>
      <c r="U10" s="80">
        <v>1259</v>
      </c>
      <c r="V10" s="80">
        <v>1321</v>
      </c>
    </row>
    <row r="11" spans="1:23" s="80" customFormat="1" x14ac:dyDescent="0.3">
      <c r="A11" s="80" t="s">
        <v>91</v>
      </c>
      <c r="B11" s="80">
        <v>16579</v>
      </c>
      <c r="C11" s="80">
        <v>17043</v>
      </c>
      <c r="D11" s="80">
        <v>18545</v>
      </c>
      <c r="E11" s="80">
        <v>18755</v>
      </c>
      <c r="F11" s="80">
        <v>18447</v>
      </c>
      <c r="G11" s="80">
        <v>18354</v>
      </c>
      <c r="H11" s="80">
        <v>18337</v>
      </c>
      <c r="I11" s="80">
        <v>19525</v>
      </c>
      <c r="J11" s="80">
        <v>28735</v>
      </c>
      <c r="K11" s="80">
        <v>17530</v>
      </c>
      <c r="L11" s="80">
        <v>18195</v>
      </c>
      <c r="M11" s="80">
        <v>17349</v>
      </c>
      <c r="N11" s="80">
        <v>19489</v>
      </c>
      <c r="O11" s="80">
        <v>22590</v>
      </c>
      <c r="P11" s="80">
        <v>21212</v>
      </c>
      <c r="Q11" s="80">
        <v>20934</v>
      </c>
      <c r="R11" s="80">
        <v>18847</v>
      </c>
      <c r="S11" s="80">
        <v>17904</v>
      </c>
      <c r="T11" s="80">
        <v>19516</v>
      </c>
      <c r="U11" s="80">
        <v>24214</v>
      </c>
      <c r="V11" s="80">
        <v>24483</v>
      </c>
    </row>
    <row r="12" spans="1:23" s="80" customFormat="1" x14ac:dyDescent="0.3">
      <c r="A12" s="80" t="s">
        <v>90</v>
      </c>
      <c r="B12" s="80">
        <v>20611</v>
      </c>
      <c r="C12" s="80">
        <v>20578</v>
      </c>
      <c r="D12" s="80">
        <v>22854</v>
      </c>
      <c r="E12" s="80">
        <v>22504</v>
      </c>
      <c r="F12" s="80">
        <v>21068</v>
      </c>
      <c r="G12" s="80">
        <v>19911</v>
      </c>
      <c r="H12" s="80">
        <v>21015</v>
      </c>
      <c r="I12" s="80">
        <v>22360</v>
      </c>
      <c r="J12" s="80">
        <v>26428</v>
      </c>
      <c r="K12" s="80">
        <v>24039</v>
      </c>
      <c r="L12" s="80">
        <v>27932</v>
      </c>
      <c r="M12" s="80">
        <v>24327</v>
      </c>
      <c r="N12" s="80">
        <v>28141</v>
      </c>
      <c r="O12" s="80">
        <v>33157</v>
      </c>
      <c r="P12" s="80">
        <v>32371</v>
      </c>
      <c r="Q12" s="80">
        <v>29489</v>
      </c>
      <c r="R12" s="80">
        <v>30831</v>
      </c>
      <c r="S12" s="80">
        <v>30487</v>
      </c>
      <c r="T12" s="80">
        <v>32403</v>
      </c>
      <c r="U12" s="80">
        <v>37182</v>
      </c>
      <c r="V12" s="80">
        <v>36517</v>
      </c>
    </row>
    <row r="13" spans="1:23" s="80" customFormat="1" x14ac:dyDescent="0.3">
      <c r="A13" s="80" t="s">
        <v>380</v>
      </c>
      <c r="B13" s="80">
        <v>1039</v>
      </c>
      <c r="C13" s="80">
        <v>1147</v>
      </c>
      <c r="D13" s="80">
        <v>1219</v>
      </c>
      <c r="E13" s="80">
        <v>1111</v>
      </c>
      <c r="F13" s="80">
        <v>1197</v>
      </c>
      <c r="G13" s="80">
        <v>1289</v>
      </c>
      <c r="H13" s="80">
        <v>1414</v>
      </c>
      <c r="I13" s="80">
        <v>1381</v>
      </c>
      <c r="J13" s="80">
        <v>1500</v>
      </c>
      <c r="K13" s="80">
        <v>1388</v>
      </c>
      <c r="L13" s="80">
        <v>1676</v>
      </c>
      <c r="M13" s="80">
        <v>1643</v>
      </c>
      <c r="N13" s="80">
        <v>1376</v>
      </c>
      <c r="O13" s="80">
        <v>1191</v>
      </c>
      <c r="P13" s="80">
        <v>862</v>
      </c>
      <c r="Q13" s="80">
        <v>926</v>
      </c>
      <c r="R13" s="80">
        <v>991</v>
      </c>
      <c r="S13" s="80">
        <v>857</v>
      </c>
      <c r="T13" s="80">
        <v>896</v>
      </c>
      <c r="U13" s="80">
        <v>880</v>
      </c>
      <c r="V13" s="80">
        <v>1069</v>
      </c>
    </row>
    <row r="14" spans="1:23" s="80" customFormat="1" x14ac:dyDescent="0.3">
      <c r="A14" s="80" t="s">
        <v>889</v>
      </c>
      <c r="B14" s="80">
        <v>10168</v>
      </c>
      <c r="C14" s="80">
        <v>11463</v>
      </c>
      <c r="D14" s="80">
        <v>13028</v>
      </c>
      <c r="E14" s="80">
        <v>14839</v>
      </c>
      <c r="F14" s="80">
        <v>16410</v>
      </c>
      <c r="G14" s="80">
        <v>13338</v>
      </c>
      <c r="H14" s="80">
        <v>14670</v>
      </c>
      <c r="I14" s="80">
        <v>16904</v>
      </c>
      <c r="J14" s="80">
        <v>17896</v>
      </c>
      <c r="K14" s="80">
        <v>18415</v>
      </c>
      <c r="L14" s="80">
        <v>19440</v>
      </c>
      <c r="M14" s="80">
        <v>16201</v>
      </c>
      <c r="N14" s="80">
        <v>17431</v>
      </c>
      <c r="O14" s="80">
        <v>18721</v>
      </c>
      <c r="P14" s="80">
        <v>17880</v>
      </c>
      <c r="Q14" s="80">
        <v>19200</v>
      </c>
      <c r="R14" s="80">
        <v>18393</v>
      </c>
      <c r="S14" s="80">
        <v>16899</v>
      </c>
      <c r="T14" s="80">
        <v>16982</v>
      </c>
      <c r="U14" s="80">
        <v>20429</v>
      </c>
      <c r="V14" s="80">
        <v>22211</v>
      </c>
    </row>
    <row r="15" spans="1:23" s="80" customFormat="1" x14ac:dyDescent="0.3">
      <c r="A15" s="80" t="s">
        <v>374</v>
      </c>
      <c r="B15" s="80">
        <v>8611</v>
      </c>
      <c r="C15" s="80">
        <v>7913</v>
      </c>
      <c r="D15" s="80">
        <v>8504</v>
      </c>
      <c r="E15" s="80">
        <v>8312</v>
      </c>
      <c r="F15" s="80">
        <v>8506</v>
      </c>
      <c r="G15" s="80">
        <v>8670</v>
      </c>
      <c r="H15" s="80">
        <v>8479</v>
      </c>
      <c r="I15" s="80">
        <v>8824</v>
      </c>
      <c r="J15" s="80">
        <v>9553</v>
      </c>
      <c r="K15" s="80">
        <v>9208</v>
      </c>
      <c r="L15" s="80">
        <v>9415</v>
      </c>
      <c r="M15" s="80">
        <v>8383</v>
      </c>
      <c r="N15" s="80">
        <v>8950</v>
      </c>
      <c r="O15" s="80">
        <v>10197</v>
      </c>
      <c r="P15" s="80">
        <v>8087</v>
      </c>
      <c r="Q15" s="80">
        <v>8464</v>
      </c>
      <c r="R15" s="80">
        <v>8796</v>
      </c>
      <c r="S15" s="80">
        <v>8384</v>
      </c>
      <c r="T15" s="80">
        <v>9678</v>
      </c>
      <c r="U15" s="80">
        <v>10360</v>
      </c>
      <c r="V15" s="80">
        <v>10700</v>
      </c>
    </row>
    <row r="16" spans="1:23" s="80" customFormat="1" x14ac:dyDescent="0.3">
      <c r="A16" s="80" t="s">
        <v>371</v>
      </c>
      <c r="B16" s="80">
        <v>130</v>
      </c>
      <c r="C16" s="80">
        <v>96</v>
      </c>
      <c r="D16" s="80">
        <v>198</v>
      </c>
      <c r="E16" s="80">
        <v>264</v>
      </c>
      <c r="F16" s="80">
        <v>336</v>
      </c>
      <c r="G16" s="80">
        <v>268</v>
      </c>
      <c r="H16" s="80">
        <v>239</v>
      </c>
      <c r="I16" s="80">
        <v>185</v>
      </c>
      <c r="J16" s="80">
        <v>1638</v>
      </c>
      <c r="K16" s="80">
        <v>249</v>
      </c>
      <c r="L16" s="80">
        <v>177</v>
      </c>
      <c r="M16" s="80">
        <v>158</v>
      </c>
      <c r="N16" s="80">
        <v>224</v>
      </c>
      <c r="O16" s="80">
        <v>250</v>
      </c>
      <c r="P16" s="80">
        <v>200</v>
      </c>
      <c r="Q16" s="80">
        <v>222</v>
      </c>
      <c r="R16" s="80">
        <v>201</v>
      </c>
      <c r="S16" s="80">
        <v>171</v>
      </c>
      <c r="T16" s="80">
        <v>180</v>
      </c>
      <c r="U16" s="80">
        <v>186</v>
      </c>
      <c r="V16" s="80">
        <v>152</v>
      </c>
    </row>
    <row r="17" spans="1:22" s="80" customFormat="1" x14ac:dyDescent="0.3">
      <c r="A17" s="80" t="s">
        <v>375</v>
      </c>
      <c r="B17" s="80">
        <v>12980</v>
      </c>
      <c r="C17" s="80">
        <v>13594</v>
      </c>
      <c r="D17" s="80">
        <v>15012</v>
      </c>
      <c r="E17" s="80">
        <v>14853</v>
      </c>
      <c r="F17" s="80">
        <v>14272</v>
      </c>
      <c r="G17" s="80">
        <v>13790</v>
      </c>
      <c r="H17" s="80">
        <v>12454</v>
      </c>
      <c r="I17" s="80">
        <v>13106</v>
      </c>
      <c r="J17" s="80">
        <v>17155</v>
      </c>
      <c r="K17" s="80">
        <v>15474</v>
      </c>
      <c r="L17" s="80">
        <v>20028</v>
      </c>
      <c r="M17" s="80">
        <v>18588</v>
      </c>
      <c r="N17" s="80">
        <v>22092</v>
      </c>
      <c r="O17" s="80">
        <v>24140</v>
      </c>
      <c r="P17" s="80">
        <v>25262</v>
      </c>
      <c r="Q17" s="80">
        <v>24866</v>
      </c>
      <c r="R17" s="80">
        <v>22918</v>
      </c>
      <c r="S17" s="80">
        <v>17486</v>
      </c>
      <c r="T17" s="80">
        <v>19052</v>
      </c>
      <c r="U17" s="80">
        <v>22032</v>
      </c>
      <c r="V17" s="80">
        <v>26487</v>
      </c>
    </row>
    <row r="18" spans="1:22" s="80" customFormat="1" x14ac:dyDescent="0.3">
      <c r="A18" s="80" t="s">
        <v>379</v>
      </c>
      <c r="B18" s="80">
        <v>1719</v>
      </c>
      <c r="C18" s="80">
        <v>1730</v>
      </c>
      <c r="D18" s="80">
        <v>1673</v>
      </c>
      <c r="E18" s="80">
        <v>1600</v>
      </c>
      <c r="F18" s="80">
        <v>1551</v>
      </c>
      <c r="G18" s="80">
        <v>1496</v>
      </c>
      <c r="H18" s="80">
        <v>1611</v>
      </c>
      <c r="I18" s="80">
        <v>1745</v>
      </c>
      <c r="J18" s="80">
        <v>2382</v>
      </c>
      <c r="K18" s="80">
        <v>1508</v>
      </c>
      <c r="L18" s="80">
        <v>1662</v>
      </c>
      <c r="M18" s="80">
        <v>1558</v>
      </c>
      <c r="N18" s="80">
        <v>1876</v>
      </c>
      <c r="O18" s="80">
        <v>1800</v>
      </c>
      <c r="P18" s="80">
        <v>1413</v>
      </c>
      <c r="Q18" s="80">
        <v>1375</v>
      </c>
      <c r="R18" s="80">
        <v>1352</v>
      </c>
      <c r="S18" s="80">
        <v>1246</v>
      </c>
      <c r="T18" s="80">
        <v>1400</v>
      </c>
      <c r="U18" s="80">
        <v>1429</v>
      </c>
      <c r="V18" s="80">
        <v>1459</v>
      </c>
    </row>
    <row r="19" spans="1:22" s="80" customFormat="1" x14ac:dyDescent="0.3">
      <c r="A19" s="80" t="s">
        <v>93</v>
      </c>
      <c r="B19" s="80">
        <v>7183</v>
      </c>
      <c r="C19" s="80">
        <v>7525</v>
      </c>
      <c r="D19" s="80">
        <v>8308</v>
      </c>
      <c r="E19" s="80">
        <v>8456</v>
      </c>
      <c r="F19" s="80">
        <v>8596</v>
      </c>
      <c r="G19" s="80">
        <v>9106</v>
      </c>
      <c r="H19" s="80">
        <v>9358</v>
      </c>
      <c r="I19" s="80">
        <v>10923</v>
      </c>
      <c r="J19" s="80">
        <v>12732</v>
      </c>
      <c r="K19" s="80">
        <v>10153</v>
      </c>
      <c r="L19" s="80">
        <v>10273</v>
      </c>
      <c r="M19" s="80">
        <v>9349</v>
      </c>
      <c r="N19" s="80">
        <v>10044</v>
      </c>
      <c r="O19" s="80">
        <v>9955</v>
      </c>
      <c r="P19" s="80">
        <v>8546</v>
      </c>
      <c r="Q19" s="80">
        <v>8823</v>
      </c>
      <c r="R19" s="80">
        <v>8980</v>
      </c>
      <c r="S19" s="80">
        <v>8837</v>
      </c>
      <c r="T19" s="80">
        <v>9421</v>
      </c>
      <c r="U19" s="80">
        <v>10349</v>
      </c>
      <c r="V19" s="80">
        <v>10388</v>
      </c>
    </row>
    <row r="20" spans="1:22" s="80" customFormat="1" x14ac:dyDescent="0.3">
      <c r="A20" s="80" t="s">
        <v>376</v>
      </c>
      <c r="B20" s="80">
        <v>4399</v>
      </c>
      <c r="C20" s="80">
        <v>4062</v>
      </c>
      <c r="D20" s="80">
        <v>4229</v>
      </c>
      <c r="E20" s="80">
        <v>3997</v>
      </c>
      <c r="F20" s="80">
        <v>3894</v>
      </c>
      <c r="G20" s="80">
        <v>3873</v>
      </c>
      <c r="H20" s="80">
        <v>4442</v>
      </c>
      <c r="I20" s="80">
        <v>4671</v>
      </c>
      <c r="J20" s="80">
        <v>5300</v>
      </c>
      <c r="K20" s="80">
        <v>4988</v>
      </c>
      <c r="L20" s="80">
        <v>5242</v>
      </c>
      <c r="M20" s="80">
        <v>4220</v>
      </c>
      <c r="N20" s="80">
        <v>5623</v>
      </c>
      <c r="O20" s="80">
        <v>6413</v>
      </c>
      <c r="P20" s="80">
        <v>5882</v>
      </c>
      <c r="Q20" s="80">
        <v>5781</v>
      </c>
      <c r="R20" s="80">
        <v>5597</v>
      </c>
      <c r="S20" s="80">
        <v>4439</v>
      </c>
      <c r="T20" s="80">
        <v>4578</v>
      </c>
      <c r="U20" s="80">
        <v>5271</v>
      </c>
      <c r="V20" s="80">
        <v>5565</v>
      </c>
    </row>
    <row r="21" spans="1:22" ht="15" thickBot="1" x14ac:dyDescent="0.35">
      <c r="A21" s="731" t="s">
        <v>898</v>
      </c>
      <c r="B21" s="757">
        <f>SUM(B7:B20)</f>
        <v>96418</v>
      </c>
      <c r="C21" s="757">
        <f>SUM(C7:C20)</f>
        <v>98750</v>
      </c>
      <c r="D21" s="757">
        <f t="shared" ref="D21:V21" si="0">SUM(D7:D20)</f>
        <v>108384</v>
      </c>
      <c r="E21" s="757">
        <f t="shared" si="0"/>
        <v>109441</v>
      </c>
      <c r="F21" s="757">
        <f t="shared" si="0"/>
        <v>109986</v>
      </c>
      <c r="G21" s="757">
        <f t="shared" si="0"/>
        <v>106300</v>
      </c>
      <c r="H21" s="757">
        <f t="shared" si="0"/>
        <v>107077</v>
      </c>
      <c r="I21" s="757">
        <f t="shared" si="0"/>
        <v>116285</v>
      </c>
      <c r="J21" s="757">
        <f t="shared" si="0"/>
        <v>144223</v>
      </c>
      <c r="K21" s="757">
        <f t="shared" si="0"/>
        <v>120679</v>
      </c>
      <c r="L21" s="757">
        <f t="shared" si="0"/>
        <v>133578</v>
      </c>
      <c r="M21" s="757">
        <f t="shared" si="0"/>
        <v>117798</v>
      </c>
      <c r="N21" s="757">
        <f t="shared" si="0"/>
        <v>134538</v>
      </c>
      <c r="O21" s="757">
        <f t="shared" si="0"/>
        <v>151241</v>
      </c>
      <c r="P21" s="757">
        <f t="shared" si="0"/>
        <v>142386</v>
      </c>
      <c r="Q21" s="757">
        <f t="shared" si="0"/>
        <v>140493</v>
      </c>
      <c r="R21" s="757">
        <f t="shared" si="0"/>
        <v>135960</v>
      </c>
      <c r="S21" s="757">
        <f t="shared" si="0"/>
        <v>123591</v>
      </c>
      <c r="T21" s="757">
        <f t="shared" si="0"/>
        <v>131404</v>
      </c>
      <c r="U21" s="757">
        <f t="shared" si="0"/>
        <v>152033</v>
      </c>
      <c r="V21" s="757">
        <f t="shared" si="0"/>
        <v>159458</v>
      </c>
    </row>
    <row r="22" spans="1:22" s="465" customFormat="1" ht="15" thickTop="1" x14ac:dyDescent="0.3">
      <c r="A22" s="80"/>
    </row>
    <row r="23" spans="1:22" s="754" customFormat="1" ht="15" thickBot="1" x14ac:dyDescent="0.35">
      <c r="A23" s="756"/>
      <c r="B23" s="753" t="s">
        <v>0</v>
      </c>
      <c r="C23" s="753" t="s">
        <v>1</v>
      </c>
      <c r="D23" s="753" t="s">
        <v>2</v>
      </c>
      <c r="E23" s="753" t="s">
        <v>3</v>
      </c>
      <c r="F23" s="753" t="s">
        <v>4</v>
      </c>
      <c r="G23" s="753" t="s">
        <v>5</v>
      </c>
      <c r="H23" s="753" t="s">
        <v>6</v>
      </c>
      <c r="I23" s="753" t="s">
        <v>7</v>
      </c>
      <c r="J23" s="753" t="s">
        <v>8</v>
      </c>
      <c r="K23" s="753" t="s">
        <v>9</v>
      </c>
      <c r="L23" s="753" t="s">
        <v>10</v>
      </c>
      <c r="M23" s="753" t="s">
        <v>11</v>
      </c>
      <c r="N23" s="753" t="s">
        <v>12</v>
      </c>
      <c r="O23" s="753" t="s">
        <v>13</v>
      </c>
      <c r="P23" s="753" t="s">
        <v>14</v>
      </c>
      <c r="Q23" s="753" t="s">
        <v>15</v>
      </c>
      <c r="R23" s="753" t="s">
        <v>16</v>
      </c>
      <c r="S23" s="753" t="s">
        <v>17</v>
      </c>
      <c r="T23" s="753" t="s">
        <v>18</v>
      </c>
      <c r="U23" s="753">
        <v>2017</v>
      </c>
      <c r="V23" s="753">
        <v>2018</v>
      </c>
    </row>
    <row r="24" spans="1:22" x14ac:dyDescent="0.3">
      <c r="A24" s="465" t="s">
        <v>896</v>
      </c>
    </row>
    <row r="25" spans="1:22" s="80" customFormat="1" x14ac:dyDescent="0.3">
      <c r="A25" s="80" t="s">
        <v>888</v>
      </c>
      <c r="B25" s="80">
        <v>231</v>
      </c>
      <c r="C25" s="80">
        <v>238</v>
      </c>
      <c r="D25" s="80">
        <v>304</v>
      </c>
      <c r="E25" s="80">
        <v>261</v>
      </c>
      <c r="F25" s="80">
        <v>245</v>
      </c>
      <c r="G25" s="80">
        <v>290</v>
      </c>
      <c r="H25" s="80">
        <v>295</v>
      </c>
      <c r="I25" s="80">
        <v>334</v>
      </c>
      <c r="J25" s="80">
        <v>1059</v>
      </c>
      <c r="K25" s="80">
        <v>373</v>
      </c>
      <c r="L25" s="80">
        <v>517</v>
      </c>
      <c r="M25" s="80">
        <v>610</v>
      </c>
      <c r="N25" s="80">
        <v>568</v>
      </c>
      <c r="O25" s="80">
        <v>723</v>
      </c>
      <c r="P25" s="80">
        <v>467</v>
      </c>
      <c r="Q25" s="80">
        <v>428</v>
      </c>
      <c r="R25" s="80">
        <v>423</v>
      </c>
      <c r="S25" s="80">
        <v>329</v>
      </c>
      <c r="T25" s="80">
        <v>283</v>
      </c>
      <c r="U25" s="80">
        <v>267</v>
      </c>
      <c r="V25" s="80">
        <v>283</v>
      </c>
    </row>
    <row r="26" spans="1:22" s="80" customFormat="1" x14ac:dyDescent="0.3">
      <c r="A26" s="80" t="s">
        <v>382</v>
      </c>
      <c r="B26" s="80">
        <v>741</v>
      </c>
      <c r="C26" s="80">
        <v>763</v>
      </c>
      <c r="D26" s="80">
        <v>966</v>
      </c>
      <c r="E26" s="80">
        <v>1109</v>
      </c>
      <c r="F26" s="80">
        <v>1053</v>
      </c>
      <c r="G26" s="80">
        <v>1027</v>
      </c>
      <c r="H26" s="80">
        <v>981</v>
      </c>
      <c r="I26" s="80">
        <v>1070</v>
      </c>
      <c r="J26" s="80">
        <v>1587</v>
      </c>
      <c r="K26" s="80">
        <v>1393</v>
      </c>
      <c r="L26" s="80">
        <v>1524</v>
      </c>
      <c r="M26" s="80">
        <v>1415</v>
      </c>
      <c r="N26" s="80">
        <v>1822</v>
      </c>
      <c r="O26" s="80">
        <v>1949</v>
      </c>
      <c r="P26" s="80">
        <v>1744</v>
      </c>
      <c r="Q26" s="80">
        <v>1920</v>
      </c>
      <c r="R26" s="80">
        <v>2056</v>
      </c>
      <c r="S26" s="80">
        <v>1945</v>
      </c>
      <c r="T26" s="80">
        <v>2106</v>
      </c>
      <c r="U26" s="80">
        <v>2020</v>
      </c>
      <c r="V26" s="80">
        <v>2101</v>
      </c>
    </row>
    <row r="27" spans="1:22" s="80" customFormat="1" x14ac:dyDescent="0.3">
      <c r="A27" s="80" t="s">
        <v>383</v>
      </c>
      <c r="B27" s="80">
        <v>39</v>
      </c>
      <c r="C27" s="80">
        <v>24</v>
      </c>
      <c r="D27" s="80">
        <v>35</v>
      </c>
      <c r="E27" s="80">
        <v>44</v>
      </c>
      <c r="F27" s="80">
        <v>69</v>
      </c>
      <c r="G27" s="80">
        <v>57</v>
      </c>
      <c r="H27" s="80">
        <v>75</v>
      </c>
      <c r="I27" s="80">
        <v>90</v>
      </c>
      <c r="J27" s="80">
        <v>453</v>
      </c>
      <c r="K27" s="80">
        <v>198</v>
      </c>
      <c r="L27" s="80">
        <v>169</v>
      </c>
      <c r="M27" s="80">
        <v>97</v>
      </c>
      <c r="N27" s="80">
        <v>157</v>
      </c>
      <c r="O27" s="80">
        <v>249</v>
      </c>
      <c r="P27" s="80">
        <v>257</v>
      </c>
      <c r="Q27" s="80">
        <v>295</v>
      </c>
      <c r="R27" s="80">
        <v>231</v>
      </c>
      <c r="S27" s="80">
        <v>175</v>
      </c>
      <c r="T27" s="80">
        <v>201</v>
      </c>
      <c r="U27" s="80">
        <v>133</v>
      </c>
      <c r="V27" s="80">
        <v>145</v>
      </c>
    </row>
    <row r="28" spans="1:22" s="80" customFormat="1" x14ac:dyDescent="0.3">
      <c r="A28" s="80" t="s">
        <v>384</v>
      </c>
      <c r="B28" s="80">
        <v>529</v>
      </c>
      <c r="C28" s="80">
        <v>506</v>
      </c>
      <c r="D28" s="80">
        <v>636</v>
      </c>
      <c r="E28" s="80">
        <v>599</v>
      </c>
      <c r="F28" s="80">
        <v>737</v>
      </c>
      <c r="G28" s="80">
        <v>870</v>
      </c>
      <c r="H28" s="80">
        <v>934</v>
      </c>
      <c r="I28" s="80">
        <v>835</v>
      </c>
      <c r="J28" s="80">
        <v>840</v>
      </c>
      <c r="K28" s="80">
        <v>880</v>
      </c>
      <c r="L28" s="80">
        <v>1009</v>
      </c>
      <c r="M28" s="80">
        <v>826</v>
      </c>
      <c r="N28" s="80">
        <v>1066</v>
      </c>
      <c r="O28" s="80">
        <v>1230</v>
      </c>
      <c r="P28" s="80">
        <v>1113</v>
      </c>
      <c r="Q28" s="80">
        <v>1220</v>
      </c>
      <c r="R28" s="80">
        <v>1227</v>
      </c>
      <c r="S28" s="80">
        <v>1250</v>
      </c>
      <c r="T28" s="80">
        <v>1319</v>
      </c>
      <c r="U28" s="80">
        <v>1343</v>
      </c>
      <c r="V28" s="80">
        <v>1378</v>
      </c>
    </row>
    <row r="29" spans="1:22" s="80" customFormat="1" x14ac:dyDescent="0.3">
      <c r="A29" s="80" t="s">
        <v>385</v>
      </c>
      <c r="B29" s="80">
        <v>53</v>
      </c>
      <c r="C29" s="80">
        <v>33</v>
      </c>
      <c r="D29" s="80">
        <v>51</v>
      </c>
      <c r="E29" s="80">
        <v>51</v>
      </c>
      <c r="F29" s="80">
        <v>51</v>
      </c>
      <c r="G29" s="80">
        <v>74</v>
      </c>
      <c r="H29" s="80">
        <v>55</v>
      </c>
      <c r="I29" s="80">
        <v>67</v>
      </c>
      <c r="J29" s="80">
        <v>543</v>
      </c>
      <c r="K29" s="80">
        <v>101</v>
      </c>
      <c r="L29" s="80">
        <v>134</v>
      </c>
      <c r="M29" s="80">
        <v>71</v>
      </c>
      <c r="N29" s="80">
        <v>121</v>
      </c>
      <c r="O29" s="80">
        <v>204</v>
      </c>
      <c r="P29" s="80">
        <v>218</v>
      </c>
      <c r="Q29" s="80">
        <v>348</v>
      </c>
      <c r="R29" s="80">
        <v>305</v>
      </c>
      <c r="S29" s="80">
        <v>173</v>
      </c>
      <c r="T29" s="80">
        <v>192</v>
      </c>
      <c r="U29" s="80">
        <v>246</v>
      </c>
      <c r="V29" s="80">
        <v>282</v>
      </c>
    </row>
    <row r="30" spans="1:22" s="80" customFormat="1" x14ac:dyDescent="0.3">
      <c r="A30" s="80" t="s">
        <v>890</v>
      </c>
      <c r="B30" s="80">
        <v>96</v>
      </c>
      <c r="C30" s="80">
        <v>63</v>
      </c>
      <c r="D30" s="80">
        <v>113</v>
      </c>
      <c r="E30" s="80">
        <v>111</v>
      </c>
      <c r="F30" s="80">
        <v>122</v>
      </c>
      <c r="G30" s="80">
        <v>170</v>
      </c>
      <c r="H30" s="80">
        <v>116</v>
      </c>
      <c r="I30" s="80">
        <v>132</v>
      </c>
      <c r="J30" s="80">
        <v>200</v>
      </c>
      <c r="K30" s="80">
        <v>280</v>
      </c>
      <c r="L30" s="80">
        <v>246</v>
      </c>
      <c r="M30" s="80">
        <v>134</v>
      </c>
      <c r="N30" s="80">
        <v>204</v>
      </c>
      <c r="O30" s="80">
        <v>251</v>
      </c>
      <c r="P30" s="80">
        <v>356</v>
      </c>
      <c r="Q30" s="80">
        <v>297</v>
      </c>
      <c r="R30" s="80">
        <v>274</v>
      </c>
      <c r="S30" s="80">
        <v>235</v>
      </c>
      <c r="T30" s="80">
        <v>301</v>
      </c>
      <c r="U30" s="80">
        <v>462</v>
      </c>
      <c r="V30" s="80">
        <v>364</v>
      </c>
    </row>
    <row r="31" spans="1:22" s="80" customFormat="1" x14ac:dyDescent="0.3">
      <c r="A31" s="80" t="s">
        <v>891</v>
      </c>
      <c r="B31" s="80">
        <v>162</v>
      </c>
      <c r="C31" s="80">
        <v>179</v>
      </c>
      <c r="D31" s="80">
        <v>190</v>
      </c>
      <c r="E31" s="80">
        <v>188</v>
      </c>
      <c r="F31" s="80">
        <v>192</v>
      </c>
      <c r="G31" s="80">
        <v>228</v>
      </c>
      <c r="H31" s="80">
        <v>227</v>
      </c>
      <c r="I31" s="80">
        <v>212</v>
      </c>
      <c r="J31" s="80">
        <v>324</v>
      </c>
      <c r="K31" s="80">
        <v>374</v>
      </c>
      <c r="L31" s="80">
        <v>446</v>
      </c>
      <c r="M31" s="80">
        <v>389</v>
      </c>
      <c r="N31" s="80">
        <v>389</v>
      </c>
      <c r="O31" s="80">
        <v>461</v>
      </c>
      <c r="P31" s="80">
        <v>398</v>
      </c>
      <c r="Q31" s="80">
        <v>447</v>
      </c>
      <c r="R31" s="80">
        <v>373</v>
      </c>
      <c r="S31" s="80">
        <v>359</v>
      </c>
      <c r="T31" s="80">
        <v>365</v>
      </c>
      <c r="U31" s="80">
        <v>402</v>
      </c>
      <c r="V31" s="80">
        <v>540</v>
      </c>
    </row>
    <row r="32" spans="1:22" s="80" customFormat="1" x14ac:dyDescent="0.3">
      <c r="A32" s="80" t="s">
        <v>377</v>
      </c>
      <c r="B32" s="80">
        <v>1302</v>
      </c>
      <c r="C32" s="80">
        <v>1258</v>
      </c>
      <c r="D32" s="80">
        <v>1386</v>
      </c>
      <c r="E32" s="80">
        <v>1333</v>
      </c>
      <c r="F32" s="80">
        <v>1359</v>
      </c>
      <c r="G32" s="80">
        <v>1503</v>
      </c>
      <c r="H32" s="80">
        <v>1455</v>
      </c>
      <c r="I32" s="80">
        <v>1670</v>
      </c>
      <c r="J32" s="80">
        <v>2834</v>
      </c>
      <c r="K32" s="80">
        <v>2393</v>
      </c>
      <c r="L32" s="80">
        <v>3007</v>
      </c>
      <c r="M32" s="80">
        <v>2788</v>
      </c>
      <c r="N32" s="80">
        <v>3831</v>
      </c>
      <c r="O32" s="80">
        <v>4414</v>
      </c>
      <c r="P32" s="80">
        <v>3517</v>
      </c>
      <c r="Q32" s="80">
        <v>3728</v>
      </c>
      <c r="R32" s="80">
        <v>3882</v>
      </c>
      <c r="S32" s="80">
        <v>3626</v>
      </c>
      <c r="T32" s="80">
        <v>4202</v>
      </c>
      <c r="U32" s="80">
        <v>4984</v>
      </c>
      <c r="V32" s="80">
        <v>5281</v>
      </c>
    </row>
    <row r="33" spans="1:22" s="80" customFormat="1" x14ac:dyDescent="0.3">
      <c r="A33" s="80" t="s">
        <v>386</v>
      </c>
      <c r="B33" s="80">
        <v>78</v>
      </c>
      <c r="C33" s="80">
        <v>91</v>
      </c>
      <c r="D33" s="80">
        <v>145</v>
      </c>
      <c r="E33" s="80">
        <v>188</v>
      </c>
      <c r="F33" s="80">
        <v>190</v>
      </c>
      <c r="G33" s="80">
        <v>230</v>
      </c>
      <c r="H33" s="80">
        <v>210</v>
      </c>
      <c r="I33" s="80">
        <v>238</v>
      </c>
      <c r="J33" s="80">
        <v>253</v>
      </c>
      <c r="K33" s="80">
        <v>373</v>
      </c>
      <c r="L33" s="80">
        <v>435</v>
      </c>
      <c r="M33" s="80">
        <v>370</v>
      </c>
      <c r="N33" s="80">
        <v>464</v>
      </c>
      <c r="O33" s="80">
        <v>550</v>
      </c>
      <c r="P33" s="80">
        <v>521</v>
      </c>
      <c r="Q33" s="80">
        <v>457</v>
      </c>
      <c r="R33" s="80">
        <v>447</v>
      </c>
      <c r="S33" s="80">
        <v>419</v>
      </c>
      <c r="T33" s="80">
        <v>488</v>
      </c>
      <c r="U33" s="80">
        <v>467</v>
      </c>
      <c r="V33" s="80">
        <v>494</v>
      </c>
    </row>
    <row r="34" spans="1:22" s="80" customFormat="1" x14ac:dyDescent="0.3">
      <c r="A34" s="80" t="s">
        <v>387</v>
      </c>
      <c r="B34" s="80">
        <v>108</v>
      </c>
      <c r="C34" s="80">
        <v>115</v>
      </c>
      <c r="D34" s="80">
        <v>137</v>
      </c>
      <c r="E34" s="80">
        <v>137</v>
      </c>
      <c r="F34" s="80">
        <v>165</v>
      </c>
      <c r="G34" s="80">
        <v>133</v>
      </c>
      <c r="H34" s="80">
        <v>137</v>
      </c>
      <c r="I34" s="80">
        <v>140</v>
      </c>
      <c r="J34" s="80">
        <v>167</v>
      </c>
      <c r="K34" s="80">
        <v>169</v>
      </c>
      <c r="L34" s="80">
        <v>188</v>
      </c>
      <c r="M34" s="80">
        <v>145</v>
      </c>
      <c r="N34" s="80">
        <v>199</v>
      </c>
      <c r="O34" s="80">
        <v>218</v>
      </c>
      <c r="P34" s="80">
        <v>188</v>
      </c>
      <c r="Q34" s="80">
        <v>181</v>
      </c>
      <c r="R34" s="80">
        <v>213</v>
      </c>
      <c r="S34" s="80">
        <v>169</v>
      </c>
      <c r="T34" s="80">
        <v>222</v>
      </c>
      <c r="U34" s="80">
        <v>155</v>
      </c>
      <c r="V34" s="80">
        <v>212</v>
      </c>
    </row>
    <row r="35" spans="1:22" s="465" customFormat="1" ht="15" thickBot="1" x14ac:dyDescent="0.35">
      <c r="A35" s="731" t="s">
        <v>899</v>
      </c>
      <c r="B35" s="731">
        <f>SUM(B25:B34)</f>
        <v>3339</v>
      </c>
      <c r="C35" s="731">
        <f t="shared" ref="C35:V35" si="1">SUM(C25:C34)</f>
        <v>3270</v>
      </c>
      <c r="D35" s="731">
        <f t="shared" si="1"/>
        <v>3963</v>
      </c>
      <c r="E35" s="731">
        <f t="shared" si="1"/>
        <v>4021</v>
      </c>
      <c r="F35" s="731">
        <f t="shared" si="1"/>
        <v>4183</v>
      </c>
      <c r="G35" s="731">
        <f t="shared" si="1"/>
        <v>4582</v>
      </c>
      <c r="H35" s="731">
        <f t="shared" si="1"/>
        <v>4485</v>
      </c>
      <c r="I35" s="731">
        <f t="shared" si="1"/>
        <v>4788</v>
      </c>
      <c r="J35" s="731">
        <f t="shared" si="1"/>
        <v>8260</v>
      </c>
      <c r="K35" s="731">
        <f t="shared" si="1"/>
        <v>6534</v>
      </c>
      <c r="L35" s="731">
        <f t="shared" si="1"/>
        <v>7675</v>
      </c>
      <c r="M35" s="731">
        <f t="shared" si="1"/>
        <v>6845</v>
      </c>
      <c r="N35" s="731">
        <f t="shared" si="1"/>
        <v>8821</v>
      </c>
      <c r="O35" s="731">
        <f t="shared" si="1"/>
        <v>10249</v>
      </c>
      <c r="P35" s="731">
        <f t="shared" si="1"/>
        <v>8779</v>
      </c>
      <c r="Q35" s="731">
        <f t="shared" si="1"/>
        <v>9321</v>
      </c>
      <c r="R35" s="731">
        <f t="shared" si="1"/>
        <v>9431</v>
      </c>
      <c r="S35" s="731">
        <f t="shared" si="1"/>
        <v>8680</v>
      </c>
      <c r="T35" s="731">
        <f t="shared" si="1"/>
        <v>9679</v>
      </c>
      <c r="U35" s="731">
        <f t="shared" si="1"/>
        <v>10479</v>
      </c>
      <c r="V35" s="731">
        <f t="shared" si="1"/>
        <v>11080</v>
      </c>
    </row>
    <row r="36" spans="1:22" s="80" customFormat="1" ht="15" thickTop="1" x14ac:dyDescent="0.3"/>
    <row r="37" spans="1:22" s="754" customFormat="1" ht="15" thickBot="1" x14ac:dyDescent="0.35">
      <c r="A37" s="756"/>
      <c r="B37" s="753" t="s">
        <v>0</v>
      </c>
      <c r="C37" s="753" t="s">
        <v>1</v>
      </c>
      <c r="D37" s="753" t="s">
        <v>2</v>
      </c>
      <c r="E37" s="753" t="s">
        <v>3</v>
      </c>
      <c r="F37" s="753" t="s">
        <v>4</v>
      </c>
      <c r="G37" s="753" t="s">
        <v>5</v>
      </c>
      <c r="H37" s="753" t="s">
        <v>6</v>
      </c>
      <c r="I37" s="753" t="s">
        <v>7</v>
      </c>
      <c r="J37" s="753" t="s">
        <v>8</v>
      </c>
      <c r="K37" s="753" t="s">
        <v>9</v>
      </c>
      <c r="L37" s="753" t="s">
        <v>10</v>
      </c>
      <c r="M37" s="753" t="s">
        <v>11</v>
      </c>
      <c r="N37" s="753" t="s">
        <v>12</v>
      </c>
      <c r="O37" s="753" t="s">
        <v>13</v>
      </c>
      <c r="P37" s="753" t="s">
        <v>14</v>
      </c>
      <c r="Q37" s="753" t="s">
        <v>15</v>
      </c>
      <c r="R37" s="753" t="s">
        <v>16</v>
      </c>
      <c r="S37" s="753" t="s">
        <v>17</v>
      </c>
      <c r="T37" s="753" t="s">
        <v>18</v>
      </c>
      <c r="U37" s="753">
        <v>2017</v>
      </c>
      <c r="V37" s="753">
        <v>2018</v>
      </c>
    </row>
    <row r="38" spans="1:22" x14ac:dyDescent="0.3">
      <c r="A38" s="465" t="s">
        <v>885</v>
      </c>
    </row>
    <row r="39" spans="1:22" s="80" customFormat="1" x14ac:dyDescent="0.3">
      <c r="A39" s="80" t="s">
        <v>886</v>
      </c>
      <c r="B39" s="80">
        <v>58</v>
      </c>
      <c r="C39" s="80">
        <v>48</v>
      </c>
      <c r="D39" s="80">
        <v>60</v>
      </c>
      <c r="E39" s="80">
        <v>89</v>
      </c>
      <c r="F39" s="80">
        <v>106</v>
      </c>
      <c r="G39" s="80">
        <v>131</v>
      </c>
      <c r="H39" s="80">
        <v>125</v>
      </c>
      <c r="I39" s="80">
        <v>194</v>
      </c>
      <c r="J39" s="80">
        <v>206</v>
      </c>
      <c r="K39" s="80">
        <v>180</v>
      </c>
      <c r="L39" s="80">
        <v>237</v>
      </c>
      <c r="M39" s="80">
        <v>165</v>
      </c>
      <c r="N39" s="80">
        <v>238</v>
      </c>
      <c r="O39" s="80">
        <v>317</v>
      </c>
      <c r="P39" s="80">
        <v>294</v>
      </c>
      <c r="Q39" s="80">
        <v>380</v>
      </c>
      <c r="R39" s="80">
        <v>428</v>
      </c>
      <c r="S39" s="80">
        <v>313</v>
      </c>
      <c r="T39" s="80">
        <v>469</v>
      </c>
      <c r="U39" s="80">
        <v>333</v>
      </c>
      <c r="V39" s="80">
        <v>303</v>
      </c>
    </row>
    <row r="40" spans="1:22" s="80" customFormat="1" x14ac:dyDescent="0.3">
      <c r="A40" s="80" t="s">
        <v>892</v>
      </c>
      <c r="B40" s="80">
        <v>215</v>
      </c>
      <c r="C40" s="80">
        <v>230</v>
      </c>
      <c r="D40" s="80">
        <v>381</v>
      </c>
      <c r="E40" s="80">
        <v>322</v>
      </c>
      <c r="F40" s="80">
        <v>423</v>
      </c>
      <c r="G40" s="80">
        <v>501</v>
      </c>
      <c r="H40" s="80">
        <v>541</v>
      </c>
      <c r="I40" s="80">
        <v>572</v>
      </c>
      <c r="J40" s="80">
        <v>580</v>
      </c>
      <c r="K40" s="80">
        <v>657</v>
      </c>
      <c r="L40" s="80">
        <v>727</v>
      </c>
      <c r="M40" s="80">
        <v>661</v>
      </c>
      <c r="N40" s="80">
        <v>768</v>
      </c>
      <c r="O40" s="80">
        <v>953</v>
      </c>
      <c r="P40" s="80">
        <v>930</v>
      </c>
      <c r="Q40" s="80">
        <v>929</v>
      </c>
      <c r="R40" s="80">
        <v>938</v>
      </c>
      <c r="S40" s="80">
        <v>971</v>
      </c>
      <c r="T40" s="80">
        <v>1018</v>
      </c>
      <c r="U40" s="80">
        <v>1138</v>
      </c>
      <c r="V40" s="80">
        <v>1220</v>
      </c>
    </row>
    <row r="41" spans="1:22" s="465" customFormat="1" ht="15" thickBot="1" x14ac:dyDescent="0.35">
      <c r="A41" s="731" t="s">
        <v>900</v>
      </c>
      <c r="B41" s="731">
        <f>B39+B40</f>
        <v>273</v>
      </c>
      <c r="C41" s="731">
        <f t="shared" ref="C41:V41" si="2">C39+C40</f>
        <v>278</v>
      </c>
      <c r="D41" s="731">
        <f t="shared" si="2"/>
        <v>441</v>
      </c>
      <c r="E41" s="731">
        <f t="shared" si="2"/>
        <v>411</v>
      </c>
      <c r="F41" s="731">
        <f t="shared" si="2"/>
        <v>529</v>
      </c>
      <c r="G41" s="731">
        <f t="shared" si="2"/>
        <v>632</v>
      </c>
      <c r="H41" s="731">
        <f t="shared" si="2"/>
        <v>666</v>
      </c>
      <c r="I41" s="731">
        <f t="shared" si="2"/>
        <v>766</v>
      </c>
      <c r="J41" s="731">
        <f t="shared" si="2"/>
        <v>786</v>
      </c>
      <c r="K41" s="731">
        <f t="shared" si="2"/>
        <v>837</v>
      </c>
      <c r="L41" s="731">
        <f t="shared" si="2"/>
        <v>964</v>
      </c>
      <c r="M41" s="731">
        <f t="shared" si="2"/>
        <v>826</v>
      </c>
      <c r="N41" s="731">
        <f t="shared" si="2"/>
        <v>1006</v>
      </c>
      <c r="O41" s="731">
        <f t="shared" si="2"/>
        <v>1270</v>
      </c>
      <c r="P41" s="731">
        <f t="shared" si="2"/>
        <v>1224</v>
      </c>
      <c r="Q41" s="731">
        <f t="shared" si="2"/>
        <v>1309</v>
      </c>
      <c r="R41" s="731">
        <f t="shared" si="2"/>
        <v>1366</v>
      </c>
      <c r="S41" s="731">
        <f t="shared" si="2"/>
        <v>1284</v>
      </c>
      <c r="T41" s="731">
        <f t="shared" si="2"/>
        <v>1487</v>
      </c>
      <c r="U41" s="731">
        <f t="shared" si="2"/>
        <v>1471</v>
      </c>
      <c r="V41" s="731">
        <f t="shared" si="2"/>
        <v>1523</v>
      </c>
    </row>
    <row r="42" spans="1:22" ht="15" thickTop="1" x14ac:dyDescent="0.3"/>
    <row r="44" spans="1:22" ht="15" thickBot="1" x14ac:dyDescent="0.35">
      <c r="B44" s="753" t="s">
        <v>0</v>
      </c>
      <c r="C44" s="753" t="s">
        <v>1</v>
      </c>
      <c r="D44" s="753" t="s">
        <v>2</v>
      </c>
      <c r="E44" s="753" t="s">
        <v>3</v>
      </c>
      <c r="F44" s="753" t="s">
        <v>4</v>
      </c>
      <c r="G44" s="753" t="s">
        <v>5</v>
      </c>
      <c r="H44" s="753" t="s">
        <v>6</v>
      </c>
      <c r="I44" s="753" t="s">
        <v>7</v>
      </c>
      <c r="J44" s="753" t="s">
        <v>8</v>
      </c>
      <c r="K44" s="753" t="s">
        <v>9</v>
      </c>
      <c r="L44" s="753" t="s">
        <v>10</v>
      </c>
      <c r="M44" s="753" t="s">
        <v>11</v>
      </c>
      <c r="N44" s="753" t="s">
        <v>12</v>
      </c>
      <c r="O44" s="753" t="s">
        <v>13</v>
      </c>
      <c r="P44" s="753" t="s">
        <v>14</v>
      </c>
      <c r="Q44" s="753" t="s">
        <v>15</v>
      </c>
      <c r="R44" s="753" t="s">
        <v>16</v>
      </c>
      <c r="S44" s="753" t="s">
        <v>17</v>
      </c>
      <c r="T44" s="753" t="s">
        <v>18</v>
      </c>
      <c r="U44" s="753">
        <v>2017</v>
      </c>
      <c r="V44" s="753">
        <v>2018</v>
      </c>
    </row>
    <row r="45" spans="1:22" x14ac:dyDescent="0.3">
      <c r="A45" s="465" t="s">
        <v>893</v>
      </c>
    </row>
    <row r="46" spans="1:22" s="80" customFormat="1" x14ac:dyDescent="0.3">
      <c r="A46" s="80" t="s">
        <v>887</v>
      </c>
      <c r="B46" s="80">
        <v>81</v>
      </c>
      <c r="C46" s="80">
        <v>54</v>
      </c>
      <c r="D46" s="80">
        <v>46</v>
      </c>
      <c r="E46" s="80">
        <v>68</v>
      </c>
      <c r="F46" s="80">
        <v>68</v>
      </c>
      <c r="G46" s="80">
        <v>109</v>
      </c>
      <c r="H46" s="80">
        <v>96</v>
      </c>
      <c r="I46" s="80">
        <v>81</v>
      </c>
      <c r="J46" s="80">
        <v>118</v>
      </c>
      <c r="K46" s="80">
        <v>126</v>
      </c>
      <c r="L46" s="80">
        <v>187</v>
      </c>
      <c r="M46" s="80">
        <v>195</v>
      </c>
      <c r="N46" s="80">
        <v>143</v>
      </c>
      <c r="O46" s="80">
        <v>123</v>
      </c>
      <c r="P46" s="80">
        <v>112</v>
      </c>
      <c r="Q46" s="80">
        <v>100</v>
      </c>
      <c r="R46" s="80">
        <v>115</v>
      </c>
      <c r="S46" s="80">
        <v>109</v>
      </c>
      <c r="T46" s="80">
        <v>135</v>
      </c>
      <c r="U46" s="80">
        <v>98</v>
      </c>
      <c r="V46" s="80">
        <v>150</v>
      </c>
    </row>
    <row r="48" spans="1:22" s="754" customFormat="1" ht="15" thickBot="1" x14ac:dyDescent="0.35">
      <c r="A48" s="756"/>
      <c r="B48" s="753" t="s">
        <v>0</v>
      </c>
      <c r="C48" s="753" t="s">
        <v>1</v>
      </c>
      <c r="D48" s="753" t="s">
        <v>2</v>
      </c>
      <c r="E48" s="753" t="s">
        <v>3</v>
      </c>
      <c r="F48" s="753" t="s">
        <v>4</v>
      </c>
      <c r="G48" s="753" t="s">
        <v>5</v>
      </c>
      <c r="H48" s="753" t="s">
        <v>6</v>
      </c>
      <c r="I48" s="753" t="s">
        <v>7</v>
      </c>
      <c r="J48" s="753" t="s">
        <v>8</v>
      </c>
      <c r="K48" s="753" t="s">
        <v>9</v>
      </c>
      <c r="L48" s="753" t="s">
        <v>10</v>
      </c>
      <c r="M48" s="753" t="s">
        <v>11</v>
      </c>
      <c r="N48" s="753" t="s">
        <v>12</v>
      </c>
      <c r="O48" s="753" t="s">
        <v>13</v>
      </c>
      <c r="P48" s="753" t="s">
        <v>14</v>
      </c>
      <c r="Q48" s="753" t="s">
        <v>15</v>
      </c>
      <c r="R48" s="753" t="s">
        <v>16</v>
      </c>
      <c r="S48" s="753" t="s">
        <v>17</v>
      </c>
      <c r="T48" s="753" t="s">
        <v>18</v>
      </c>
      <c r="U48" s="753">
        <v>2017</v>
      </c>
      <c r="V48" s="753">
        <v>2018</v>
      </c>
    </row>
    <row r="49" spans="1:22" s="79" customFormat="1" x14ac:dyDescent="0.3">
      <c r="A49" s="79" t="s">
        <v>894</v>
      </c>
      <c r="B49" s="79">
        <v>100111</v>
      </c>
      <c r="C49" s="79">
        <v>102352</v>
      </c>
      <c r="D49" s="79">
        <v>112834</v>
      </c>
      <c r="E49" s="79">
        <v>113941</v>
      </c>
      <c r="F49" s="79">
        <v>114766</v>
      </c>
      <c r="G49" s="79">
        <v>111623</v>
      </c>
      <c r="H49" s="79">
        <v>112324</v>
      </c>
      <c r="I49" s="79">
        <v>121920</v>
      </c>
      <c r="J49" s="79">
        <v>153387</v>
      </c>
      <c r="K49" s="79">
        <v>128176</v>
      </c>
      <c r="L49" s="79">
        <v>142404</v>
      </c>
      <c r="M49" s="79">
        <v>125664</v>
      </c>
      <c r="N49" s="79">
        <v>144508</v>
      </c>
      <c r="O49" s="79">
        <v>162883</v>
      </c>
      <c r="P49" s="79">
        <v>152501</v>
      </c>
      <c r="Q49" s="79">
        <v>151223</v>
      </c>
      <c r="R49" s="79">
        <v>146872</v>
      </c>
      <c r="S49" s="79">
        <v>133664</v>
      </c>
      <c r="T49" s="79">
        <v>142705</v>
      </c>
      <c r="U49" s="79">
        <v>164081</v>
      </c>
      <c r="V49" s="79">
        <v>172211</v>
      </c>
    </row>
    <row r="51" spans="1:22" x14ac:dyDescent="0.3">
      <c r="A51" t="s">
        <v>895</v>
      </c>
      <c r="B51">
        <f>B21+B35+B41+B46</f>
        <v>100111</v>
      </c>
      <c r="C51" s="465">
        <f t="shared" ref="C51:V51" si="3">C21+C35+C41+C46</f>
        <v>102352</v>
      </c>
      <c r="D51" s="465">
        <f t="shared" si="3"/>
        <v>112834</v>
      </c>
      <c r="E51" s="465">
        <f t="shared" si="3"/>
        <v>113941</v>
      </c>
      <c r="F51" s="465">
        <f t="shared" si="3"/>
        <v>114766</v>
      </c>
      <c r="G51" s="465">
        <f t="shared" si="3"/>
        <v>111623</v>
      </c>
      <c r="H51" s="465">
        <f t="shared" si="3"/>
        <v>112324</v>
      </c>
      <c r="I51" s="465">
        <f t="shared" si="3"/>
        <v>121920</v>
      </c>
      <c r="J51" s="465">
        <f t="shared" si="3"/>
        <v>153387</v>
      </c>
      <c r="K51" s="465">
        <f t="shared" si="3"/>
        <v>128176</v>
      </c>
      <c r="L51" s="465">
        <f t="shared" si="3"/>
        <v>142404</v>
      </c>
      <c r="M51" s="465">
        <f t="shared" si="3"/>
        <v>125664</v>
      </c>
      <c r="N51" s="465">
        <f t="shared" si="3"/>
        <v>144508</v>
      </c>
      <c r="O51" s="465">
        <f t="shared" si="3"/>
        <v>162883</v>
      </c>
      <c r="P51" s="465">
        <f t="shared" si="3"/>
        <v>152501</v>
      </c>
      <c r="Q51" s="465">
        <f t="shared" si="3"/>
        <v>151223</v>
      </c>
      <c r="R51" s="465">
        <f t="shared" si="3"/>
        <v>146872</v>
      </c>
      <c r="S51" s="465">
        <f t="shared" si="3"/>
        <v>133664</v>
      </c>
      <c r="T51" s="465">
        <f t="shared" si="3"/>
        <v>142705</v>
      </c>
      <c r="U51" s="465">
        <f t="shared" si="3"/>
        <v>164081</v>
      </c>
      <c r="V51" s="465">
        <f t="shared" si="3"/>
        <v>172211</v>
      </c>
    </row>
    <row r="54" spans="1:22" x14ac:dyDescent="0.3">
      <c r="A54" t="s">
        <v>925</v>
      </c>
    </row>
    <row r="55" spans="1:22" s="465" customFormat="1" ht="15" thickBot="1" x14ac:dyDescent="0.35">
      <c r="B55" s="753" t="s">
        <v>0</v>
      </c>
      <c r="C55" s="753" t="s">
        <v>1</v>
      </c>
      <c r="D55" s="753" t="s">
        <v>2</v>
      </c>
      <c r="E55" s="753" t="s">
        <v>3</v>
      </c>
      <c r="F55" s="753" t="s">
        <v>4</v>
      </c>
      <c r="G55" s="753" t="s">
        <v>5</v>
      </c>
      <c r="H55" s="753" t="s">
        <v>6</v>
      </c>
      <c r="I55" s="753" t="s">
        <v>7</v>
      </c>
      <c r="J55" s="753" t="s">
        <v>8</v>
      </c>
      <c r="K55" s="753" t="s">
        <v>9</v>
      </c>
      <c r="L55" s="753" t="s">
        <v>10</v>
      </c>
      <c r="M55" s="753" t="s">
        <v>11</v>
      </c>
      <c r="N55" s="753" t="s">
        <v>12</v>
      </c>
      <c r="O55" s="753" t="s">
        <v>13</v>
      </c>
      <c r="P55" s="753" t="s">
        <v>14</v>
      </c>
      <c r="Q55" s="753" t="s">
        <v>15</v>
      </c>
      <c r="R55" s="753" t="s">
        <v>16</v>
      </c>
      <c r="S55" s="753" t="s">
        <v>17</v>
      </c>
      <c r="T55" s="753" t="s">
        <v>18</v>
      </c>
      <c r="U55" s="753">
        <v>2017</v>
      </c>
      <c r="V55" s="753">
        <v>2018</v>
      </c>
    </row>
    <row r="56" spans="1:22" s="80" customFormat="1" x14ac:dyDescent="0.3">
      <c r="A56" s="80" t="s">
        <v>926</v>
      </c>
      <c r="B56" s="80">
        <v>22743</v>
      </c>
      <c r="C56" s="80">
        <v>25285</v>
      </c>
      <c r="D56" s="80">
        <v>30222</v>
      </c>
      <c r="E56" s="80">
        <v>29995</v>
      </c>
      <c r="F56" s="80">
        <v>28543</v>
      </c>
      <c r="G56" s="80">
        <v>28847</v>
      </c>
      <c r="H56" s="80">
        <v>28397</v>
      </c>
      <c r="I56" s="80">
        <v>31590</v>
      </c>
      <c r="J56" s="80">
        <v>32136</v>
      </c>
      <c r="K56" s="80">
        <v>32656</v>
      </c>
      <c r="L56" s="80">
        <v>35405</v>
      </c>
      <c r="M56" s="80">
        <v>34117</v>
      </c>
      <c r="N56" s="80">
        <v>37914</v>
      </c>
      <c r="O56" s="80">
        <v>40244</v>
      </c>
      <c r="P56" s="80">
        <v>40661</v>
      </c>
      <c r="Q56" s="80">
        <v>40622</v>
      </c>
      <c r="R56" s="80">
        <v>40169</v>
      </c>
      <c r="S56" s="80">
        <v>47942</v>
      </c>
      <c r="T56" s="80">
        <v>48543</v>
      </c>
      <c r="U56" s="80">
        <v>51388</v>
      </c>
      <c r="V56" s="80">
        <v>54908</v>
      </c>
    </row>
    <row r="57" spans="1:22" s="80" customFormat="1" x14ac:dyDescent="0.3">
      <c r="A57" s="80" t="s">
        <v>397</v>
      </c>
      <c r="B57" s="80">
        <v>930</v>
      </c>
      <c r="C57" s="80">
        <v>1398</v>
      </c>
      <c r="D57" s="80">
        <v>1733</v>
      </c>
      <c r="E57" s="80">
        <v>1886</v>
      </c>
      <c r="F57" s="80">
        <v>1594</v>
      </c>
      <c r="G57" s="80">
        <v>2085</v>
      </c>
      <c r="H57" s="80">
        <v>2854</v>
      </c>
      <c r="I57" s="80">
        <v>3074</v>
      </c>
      <c r="J57" s="80">
        <v>3750</v>
      </c>
      <c r="K57" s="80">
        <v>4876</v>
      </c>
      <c r="L57" s="80">
        <v>6053</v>
      </c>
      <c r="M57" s="80">
        <v>5616</v>
      </c>
      <c r="N57" s="80">
        <v>8256</v>
      </c>
      <c r="O57" s="80">
        <v>10536</v>
      </c>
      <c r="P57" s="80">
        <v>11540</v>
      </c>
      <c r="Q57" s="80">
        <v>13709</v>
      </c>
      <c r="R57" s="80">
        <v>15682</v>
      </c>
      <c r="S57" s="80">
        <v>13207</v>
      </c>
      <c r="T57" s="80">
        <v>13652</v>
      </c>
      <c r="U57" s="80">
        <v>17958</v>
      </c>
      <c r="V57" s="80">
        <v>18511</v>
      </c>
    </row>
    <row r="58" spans="1:22" s="80" customFormat="1" x14ac:dyDescent="0.3">
      <c r="A58" s="80" t="s">
        <v>398</v>
      </c>
      <c r="B58" s="80">
        <v>2956</v>
      </c>
      <c r="C58" s="80">
        <v>2532</v>
      </c>
      <c r="D58" s="80">
        <v>2850</v>
      </c>
      <c r="E58" s="80">
        <v>2855</v>
      </c>
      <c r="F58" s="80">
        <v>2586</v>
      </c>
      <c r="G58" s="80">
        <v>2663</v>
      </c>
      <c r="H58" s="80">
        <v>2801</v>
      </c>
      <c r="I58" s="80">
        <v>3181</v>
      </c>
      <c r="J58" s="80">
        <v>2910</v>
      </c>
      <c r="K58" s="80">
        <v>2787</v>
      </c>
      <c r="L58" s="80">
        <v>3625</v>
      </c>
      <c r="M58" s="80">
        <v>3698</v>
      </c>
      <c r="N58" s="80">
        <v>4386</v>
      </c>
      <c r="O58" s="80">
        <v>5445</v>
      </c>
      <c r="P58" s="80">
        <v>5334</v>
      </c>
      <c r="Q58" s="80">
        <v>5542</v>
      </c>
      <c r="R58" s="80">
        <v>5116</v>
      </c>
      <c r="S58" s="80">
        <v>6048</v>
      </c>
      <c r="T58" s="80">
        <v>6441</v>
      </c>
      <c r="U58" s="80">
        <v>7908</v>
      </c>
      <c r="V58" s="80">
        <v>8334</v>
      </c>
    </row>
    <row r="59" spans="1:22" s="80" customFormat="1" x14ac:dyDescent="0.3">
      <c r="A59" s="80" t="s">
        <v>389</v>
      </c>
      <c r="B59" s="80">
        <v>2835</v>
      </c>
      <c r="C59" s="80">
        <v>2701</v>
      </c>
      <c r="D59" s="80">
        <v>3225</v>
      </c>
      <c r="E59" s="80">
        <v>3801</v>
      </c>
      <c r="F59" s="80">
        <v>3146</v>
      </c>
      <c r="G59" s="80">
        <v>2779</v>
      </c>
      <c r="H59" s="80">
        <v>2745</v>
      </c>
      <c r="I59" s="80">
        <v>4898</v>
      </c>
      <c r="J59" s="80">
        <v>3964</v>
      </c>
      <c r="K59" s="80">
        <v>3306</v>
      </c>
      <c r="L59" s="80">
        <v>4123</v>
      </c>
      <c r="M59" s="80">
        <v>3488</v>
      </c>
      <c r="N59" s="80">
        <v>4779</v>
      </c>
      <c r="O59" s="80">
        <v>4930</v>
      </c>
      <c r="P59" s="80">
        <v>5507</v>
      </c>
      <c r="Q59" s="80">
        <v>5845</v>
      </c>
      <c r="R59" s="80">
        <v>6027</v>
      </c>
      <c r="S59" s="80">
        <v>9952</v>
      </c>
      <c r="T59" s="80">
        <v>8596</v>
      </c>
      <c r="U59" s="80">
        <v>7501</v>
      </c>
      <c r="V59" s="80">
        <v>7295</v>
      </c>
    </row>
    <row r="60" spans="1:22" s="80" customFormat="1" x14ac:dyDescent="0.3">
      <c r="A60" s="80" t="s">
        <v>401</v>
      </c>
      <c r="B60" s="80">
        <v>3600</v>
      </c>
      <c r="C60" s="80">
        <v>3627</v>
      </c>
      <c r="D60" s="80">
        <v>4021</v>
      </c>
      <c r="E60" s="80">
        <v>4034</v>
      </c>
      <c r="F60" s="80">
        <v>3866</v>
      </c>
      <c r="G60" s="80">
        <v>3970</v>
      </c>
      <c r="H60" s="80">
        <v>4107</v>
      </c>
      <c r="I60" s="80">
        <v>4068</v>
      </c>
      <c r="J60" s="80">
        <v>4223</v>
      </c>
      <c r="K60" s="80">
        <v>4029</v>
      </c>
      <c r="L60" s="80">
        <v>3903</v>
      </c>
      <c r="M60" s="80">
        <v>3577</v>
      </c>
      <c r="N60" s="80">
        <v>4334</v>
      </c>
      <c r="O60" s="80">
        <v>4761</v>
      </c>
      <c r="P60" s="80">
        <v>4942</v>
      </c>
      <c r="Q60" s="80">
        <v>4746</v>
      </c>
      <c r="R60" s="80">
        <v>4563</v>
      </c>
      <c r="S60" s="80">
        <v>4632</v>
      </c>
      <c r="T60" s="80">
        <v>5040</v>
      </c>
      <c r="U60" s="80">
        <v>6373</v>
      </c>
      <c r="V60" s="80">
        <v>7008</v>
      </c>
    </row>
    <row r="61" spans="1:22" s="80" customFormat="1" x14ac:dyDescent="0.3">
      <c r="A61" s="80" t="s">
        <v>927</v>
      </c>
      <c r="B61" s="80">
        <v>1513</v>
      </c>
      <c r="C61" s="80">
        <v>1507</v>
      </c>
      <c r="D61" s="80">
        <v>1590</v>
      </c>
      <c r="E61" s="80">
        <v>1652</v>
      </c>
      <c r="F61" s="80">
        <v>1682</v>
      </c>
      <c r="G61" s="80">
        <v>2185</v>
      </c>
      <c r="H61" s="80">
        <v>2827</v>
      </c>
      <c r="I61" s="80">
        <v>5869</v>
      </c>
      <c r="J61" s="80">
        <v>3824</v>
      </c>
      <c r="K61" s="80">
        <v>2849</v>
      </c>
      <c r="L61" s="80">
        <v>3823</v>
      </c>
      <c r="M61" s="80">
        <v>3634</v>
      </c>
      <c r="N61" s="80">
        <v>4070</v>
      </c>
      <c r="O61" s="80">
        <v>4960</v>
      </c>
      <c r="P61" s="80">
        <v>5396</v>
      </c>
      <c r="Q61" s="80">
        <v>6225</v>
      </c>
      <c r="R61" s="80">
        <v>6143</v>
      </c>
      <c r="S61" s="80">
        <v>6370</v>
      </c>
      <c r="T61" s="80">
        <v>6935</v>
      </c>
      <c r="U61" s="80">
        <v>7642</v>
      </c>
      <c r="V61" s="80">
        <v>6857</v>
      </c>
    </row>
    <row r="62" spans="1:22" s="80" customFormat="1" x14ac:dyDescent="0.3">
      <c r="A62" s="80" t="s">
        <v>406</v>
      </c>
      <c r="B62" s="80">
        <v>724</v>
      </c>
      <c r="C62" s="80">
        <v>946</v>
      </c>
      <c r="D62" s="80">
        <v>1276</v>
      </c>
      <c r="E62" s="80">
        <v>1356</v>
      </c>
      <c r="F62" s="80">
        <v>1570</v>
      </c>
      <c r="G62" s="80">
        <v>1579</v>
      </c>
      <c r="H62" s="80">
        <v>1557</v>
      </c>
      <c r="I62" s="80">
        <v>1755</v>
      </c>
      <c r="J62" s="80">
        <v>1799</v>
      </c>
      <c r="K62" s="80">
        <v>1916</v>
      </c>
      <c r="L62" s="80">
        <v>2519</v>
      </c>
      <c r="M62" s="80">
        <v>2137</v>
      </c>
      <c r="N62" s="80">
        <v>2333</v>
      </c>
      <c r="O62" s="80">
        <v>2684</v>
      </c>
      <c r="P62" s="80">
        <v>4894</v>
      </c>
      <c r="Q62" s="80">
        <v>5049</v>
      </c>
      <c r="R62" s="80">
        <v>4331</v>
      </c>
      <c r="S62" s="80">
        <v>4891</v>
      </c>
      <c r="T62" s="80">
        <v>4587</v>
      </c>
      <c r="U62" s="80">
        <v>6306</v>
      </c>
      <c r="V62" s="80">
        <v>6337</v>
      </c>
    </row>
    <row r="63" spans="1:22" s="80" customFormat="1" x14ac:dyDescent="0.3">
      <c r="A63" s="80" t="s">
        <v>393</v>
      </c>
      <c r="B63" s="80">
        <v>2208</v>
      </c>
      <c r="C63" s="80">
        <v>2510</v>
      </c>
      <c r="D63" s="80">
        <v>3258</v>
      </c>
      <c r="E63" s="80">
        <v>2965</v>
      </c>
      <c r="F63" s="80">
        <v>3025</v>
      </c>
      <c r="G63" s="80">
        <v>3070</v>
      </c>
      <c r="H63" s="80">
        <v>3116</v>
      </c>
      <c r="I63" s="80">
        <v>3067</v>
      </c>
      <c r="J63" s="80">
        <v>3611</v>
      </c>
      <c r="K63" s="80">
        <v>3139</v>
      </c>
      <c r="L63" s="80">
        <v>3293</v>
      </c>
      <c r="M63" s="80">
        <v>3402</v>
      </c>
      <c r="N63" s="80">
        <v>4252</v>
      </c>
      <c r="O63" s="80">
        <v>4973</v>
      </c>
      <c r="P63" s="80">
        <v>4279</v>
      </c>
      <c r="Q63" s="80">
        <v>4108</v>
      </c>
      <c r="R63" s="80">
        <v>4137</v>
      </c>
      <c r="S63" s="80">
        <v>4128</v>
      </c>
      <c r="T63" s="80">
        <v>4997</v>
      </c>
      <c r="U63" s="80">
        <v>5403</v>
      </c>
      <c r="V63" s="80">
        <v>6077</v>
      </c>
    </row>
    <row r="64" spans="1:22" s="80" customFormat="1" x14ac:dyDescent="0.3">
      <c r="A64" s="80" t="s">
        <v>399</v>
      </c>
      <c r="B64" s="80">
        <v>1335</v>
      </c>
      <c r="C64" s="80">
        <v>1645</v>
      </c>
      <c r="D64" s="80">
        <v>2282</v>
      </c>
      <c r="E64" s="80">
        <v>1875</v>
      </c>
      <c r="F64" s="80">
        <v>1778</v>
      </c>
      <c r="G64" s="80">
        <v>2341</v>
      </c>
      <c r="H64" s="80">
        <v>2569</v>
      </c>
      <c r="I64" s="80">
        <v>2946</v>
      </c>
      <c r="J64" s="80">
        <v>2975</v>
      </c>
      <c r="K64" s="80">
        <v>3829</v>
      </c>
      <c r="L64" s="80">
        <v>5001</v>
      </c>
      <c r="M64" s="80">
        <v>3115</v>
      </c>
      <c r="N64" s="80">
        <v>4554</v>
      </c>
      <c r="O64" s="80">
        <v>6619</v>
      </c>
      <c r="P64" s="80">
        <v>5472</v>
      </c>
      <c r="Q64" s="80">
        <v>6292</v>
      </c>
      <c r="R64" s="80">
        <v>5410</v>
      </c>
      <c r="S64" s="80">
        <v>4100</v>
      </c>
      <c r="T64" s="80">
        <v>3456</v>
      </c>
      <c r="U64" s="80">
        <v>4462</v>
      </c>
      <c r="V64" s="80">
        <v>5513</v>
      </c>
    </row>
    <row r="65" spans="1:22" s="80" customFormat="1" x14ac:dyDescent="0.3">
      <c r="A65" s="80" t="s">
        <v>390</v>
      </c>
      <c r="B65" s="80">
        <v>1721</v>
      </c>
      <c r="C65" s="80">
        <v>1369</v>
      </c>
      <c r="D65" s="80">
        <v>2062</v>
      </c>
      <c r="E65" s="80">
        <v>1300</v>
      </c>
      <c r="F65" s="80">
        <v>1456</v>
      </c>
      <c r="G65" s="80">
        <v>1826</v>
      </c>
      <c r="H65" s="80">
        <v>2086</v>
      </c>
      <c r="I65" s="80">
        <v>2341</v>
      </c>
      <c r="J65" s="80">
        <v>2660</v>
      </c>
      <c r="K65" s="80">
        <v>2566</v>
      </c>
      <c r="L65" s="80">
        <v>2656</v>
      </c>
      <c r="M65" s="80">
        <v>2436</v>
      </c>
      <c r="N65" s="80">
        <v>3297</v>
      </c>
      <c r="O65" s="80">
        <v>4029</v>
      </c>
      <c r="P65" s="80">
        <v>3723</v>
      </c>
      <c r="Q65" s="80">
        <v>4095</v>
      </c>
      <c r="R65" s="80">
        <v>3670</v>
      </c>
      <c r="S65" s="80">
        <v>3620</v>
      </c>
      <c r="T65" s="80">
        <v>4649</v>
      </c>
      <c r="U65" s="80">
        <v>5915</v>
      </c>
      <c r="V65" s="80">
        <v>5231</v>
      </c>
    </row>
    <row r="66" spans="1:22" s="80" customFormat="1" x14ac:dyDescent="0.3">
      <c r="A66" s="80" t="s">
        <v>405</v>
      </c>
      <c r="B66" s="80">
        <v>1701</v>
      </c>
      <c r="C66" s="80">
        <v>1698</v>
      </c>
      <c r="D66" s="80">
        <v>1720</v>
      </c>
      <c r="E66" s="80">
        <v>1666</v>
      </c>
      <c r="F66" s="80">
        <v>1515</v>
      </c>
      <c r="G66" s="80">
        <v>1629</v>
      </c>
      <c r="H66" s="80">
        <v>1758</v>
      </c>
      <c r="I66" s="80">
        <v>2161</v>
      </c>
      <c r="J66" s="80">
        <v>2352</v>
      </c>
      <c r="K66" s="80">
        <v>2583</v>
      </c>
      <c r="L66" s="80">
        <v>2849</v>
      </c>
      <c r="M66" s="80">
        <v>2976</v>
      </c>
      <c r="N66" s="80">
        <v>3463</v>
      </c>
      <c r="O66" s="80">
        <v>3892</v>
      </c>
      <c r="P66" s="80">
        <v>4484</v>
      </c>
      <c r="Q66" s="80">
        <v>4305</v>
      </c>
      <c r="R66" s="80">
        <v>3855</v>
      </c>
      <c r="S66" s="80">
        <v>3966</v>
      </c>
      <c r="T66" s="80">
        <v>4682</v>
      </c>
      <c r="U66" s="80">
        <v>5270</v>
      </c>
      <c r="V66" s="80">
        <v>5025</v>
      </c>
    </row>
    <row r="67" spans="1:22" s="80" customFormat="1" x14ac:dyDescent="0.3">
      <c r="A67" s="80" t="s">
        <v>409</v>
      </c>
      <c r="B67" s="80">
        <v>2512</v>
      </c>
      <c r="C67" s="80">
        <v>2320</v>
      </c>
      <c r="D67" s="80">
        <v>2526</v>
      </c>
      <c r="E67" s="80">
        <v>2368</v>
      </c>
      <c r="F67" s="80">
        <v>2194</v>
      </c>
      <c r="G67" s="80">
        <v>2433</v>
      </c>
      <c r="H67" s="80">
        <v>2591</v>
      </c>
      <c r="I67" s="80">
        <v>2671</v>
      </c>
      <c r="J67" s="80">
        <v>2566</v>
      </c>
      <c r="K67" s="80">
        <v>2685</v>
      </c>
      <c r="L67" s="80">
        <v>3127</v>
      </c>
      <c r="M67" s="80">
        <v>2973</v>
      </c>
      <c r="N67" s="80">
        <v>3401</v>
      </c>
      <c r="O67" s="80">
        <v>4439</v>
      </c>
      <c r="P67" s="80">
        <v>4704</v>
      </c>
      <c r="Q67" s="80">
        <v>4107</v>
      </c>
      <c r="R67" s="80">
        <v>3901</v>
      </c>
      <c r="S67" s="80">
        <v>4010</v>
      </c>
      <c r="T67" s="80">
        <v>4162</v>
      </c>
      <c r="U67" s="80">
        <v>4976</v>
      </c>
      <c r="V67" s="80">
        <v>5006</v>
      </c>
    </row>
    <row r="68" spans="1:22" s="80" customFormat="1" x14ac:dyDescent="0.3">
      <c r="A68" s="80" t="s">
        <v>414</v>
      </c>
      <c r="B68" s="80">
        <v>2892</v>
      </c>
      <c r="C68" s="80">
        <v>2235</v>
      </c>
      <c r="D68" s="80">
        <v>2260</v>
      </c>
      <c r="E68" s="80">
        <v>2069</v>
      </c>
      <c r="F68" s="80">
        <v>1965</v>
      </c>
      <c r="G68" s="80">
        <v>2109</v>
      </c>
      <c r="H68" s="80">
        <v>2145</v>
      </c>
      <c r="I68" s="80">
        <v>2440</v>
      </c>
      <c r="J68" s="80">
        <v>2279</v>
      </c>
      <c r="K68" s="80">
        <v>2965</v>
      </c>
      <c r="L68" s="80">
        <v>2980</v>
      </c>
      <c r="M68" s="80">
        <v>2936</v>
      </c>
      <c r="N68" s="80">
        <v>3178</v>
      </c>
      <c r="O68" s="80">
        <v>3535</v>
      </c>
      <c r="P68" s="80">
        <v>3764</v>
      </c>
      <c r="Q68" s="80">
        <v>3622</v>
      </c>
      <c r="R68" s="80">
        <v>3880</v>
      </c>
      <c r="S68" s="80">
        <v>3426</v>
      </c>
      <c r="T68" s="80">
        <v>3307</v>
      </c>
      <c r="U68" s="80">
        <v>3223</v>
      </c>
      <c r="V68" s="80">
        <v>3636</v>
      </c>
    </row>
    <row r="69" spans="1:22" x14ac:dyDescent="0.3">
      <c r="A69" s="79" t="s">
        <v>193</v>
      </c>
      <c r="B69" s="6">
        <f>SUM(B56:B68)</f>
        <v>47670</v>
      </c>
      <c r="C69" s="6">
        <f t="shared" ref="C69:V69" si="4">SUM(C56:C68)</f>
        <v>49773</v>
      </c>
      <c r="D69" s="6">
        <f t="shared" si="4"/>
        <v>59025</v>
      </c>
      <c r="E69" s="6">
        <f t="shared" si="4"/>
        <v>57822</v>
      </c>
      <c r="F69" s="6">
        <f t="shared" si="4"/>
        <v>54920</v>
      </c>
      <c r="G69" s="6">
        <f t="shared" si="4"/>
        <v>57516</v>
      </c>
      <c r="H69" s="6">
        <f t="shared" si="4"/>
        <v>59553</v>
      </c>
      <c r="I69" s="6">
        <f t="shared" si="4"/>
        <v>70061</v>
      </c>
      <c r="J69" s="6">
        <f t="shared" si="4"/>
        <v>69049</v>
      </c>
      <c r="K69" s="6">
        <f t="shared" si="4"/>
        <v>70186</v>
      </c>
      <c r="L69" s="6">
        <f t="shared" si="4"/>
        <v>79357</v>
      </c>
      <c r="M69" s="6">
        <f t="shared" si="4"/>
        <v>74105</v>
      </c>
      <c r="N69" s="6">
        <f t="shared" si="4"/>
        <v>88217</v>
      </c>
      <c r="O69" s="6">
        <f t="shared" si="4"/>
        <v>101047</v>
      </c>
      <c r="P69" s="6">
        <f t="shared" si="4"/>
        <v>104700</v>
      </c>
      <c r="Q69" s="6">
        <f t="shared" si="4"/>
        <v>108267</v>
      </c>
      <c r="R69" s="6">
        <f t="shared" si="4"/>
        <v>106884</v>
      </c>
      <c r="S69" s="6">
        <f t="shared" si="4"/>
        <v>116292</v>
      </c>
      <c r="T69" s="6">
        <f t="shared" si="4"/>
        <v>119047</v>
      </c>
      <c r="U69" s="6">
        <f t="shared" si="4"/>
        <v>134325</v>
      </c>
      <c r="V69" s="6">
        <f t="shared" si="4"/>
        <v>139738</v>
      </c>
    </row>
    <row r="70" spans="1:22" s="465" customFormat="1" x14ac:dyDescent="0.3"/>
    <row r="71" spans="1:22" x14ac:dyDescent="0.3">
      <c r="A71" s="80" t="s">
        <v>813</v>
      </c>
      <c r="B71" s="79">
        <v>65168</v>
      </c>
      <c r="C71" s="79">
        <v>65432</v>
      </c>
      <c r="D71" s="79">
        <v>76126</v>
      </c>
      <c r="E71" s="79">
        <v>75592</v>
      </c>
      <c r="F71" s="79">
        <v>72192</v>
      </c>
      <c r="G71" s="79">
        <v>77071</v>
      </c>
      <c r="H71" s="79">
        <v>79389</v>
      </c>
      <c r="I71" s="79">
        <v>90837</v>
      </c>
      <c r="J71" s="79">
        <v>91372</v>
      </c>
      <c r="K71" s="79">
        <v>94348</v>
      </c>
      <c r="L71" s="79">
        <v>109855</v>
      </c>
      <c r="M71" s="79">
        <v>101700</v>
      </c>
      <c r="N71" s="79">
        <v>122529</v>
      </c>
      <c r="O71" s="79">
        <v>140921</v>
      </c>
      <c r="P71" s="79">
        <v>146887</v>
      </c>
      <c r="Q71" s="79">
        <v>149167</v>
      </c>
      <c r="R71" s="79">
        <v>146244</v>
      </c>
      <c r="S71" s="79">
        <v>153088</v>
      </c>
      <c r="T71" s="79">
        <v>156368</v>
      </c>
      <c r="U71" s="79">
        <v>174658</v>
      </c>
      <c r="V71" s="79">
        <v>178440</v>
      </c>
    </row>
  </sheetData>
  <mergeCells count="1">
    <mergeCell ref="A2:B2"/>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 All Trade</vt:lpstr>
      <vt:lpstr>2. Trade in Goods</vt:lpstr>
      <vt:lpstr>3. Trade in Services</vt:lpstr>
      <vt:lpstr>4. US &amp; EU Comparisons</vt:lpstr>
      <vt:lpstr>5. Accession impact</vt:lpstr>
      <vt:lpstr>6. WTO, non-EU &amp; EFTA</vt:lpstr>
      <vt:lpstr>7. Non-Monetary Gold</vt:lpstr>
      <vt:lpstr>Working Data</vt:lpstr>
      <vt:lpstr>8. Country data</vt:lpstr>
      <vt:lpstr>2016-2018 ONS Services Data</vt:lpstr>
      <vt:lpstr>ONS Services Trade Data 2018</vt:lpstr>
      <vt:lpstr>Old_2016 Data Manufacturing</vt:lpstr>
      <vt:lpstr>Old_Core Data_Goods</vt:lpstr>
      <vt:lpstr>Core Data_Services</vt:lpstr>
      <vt:lpstr>Additional Data</vt:lpstr>
      <vt:lpstr>Overall Trade Calcs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Radford</dc:creator>
  <cp:lastModifiedBy>Phil Radford</cp:lastModifiedBy>
  <cp:lastPrinted>2018-01-17T10:19:46Z</cp:lastPrinted>
  <dcterms:created xsi:type="dcterms:W3CDTF">2017-04-05T06:59:48Z</dcterms:created>
  <dcterms:modified xsi:type="dcterms:W3CDTF">2019-09-15T07:08:40Z</dcterms:modified>
</cp:coreProperties>
</file>